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5180" windowHeight="9345" firstSheet="2" activeTab="15"/>
  </bookViews>
  <sheets>
    <sheet name="1925" sheetId="27" r:id="rId1"/>
    <sheet name="1928" sheetId="26" r:id="rId2"/>
    <sheet name="1934" sheetId="25" r:id="rId3"/>
    <sheet name="1942" sheetId="24" r:id="rId4"/>
    <sheet name="1945" sheetId="23" r:id="rId5"/>
    <sheet name="1950" sheetId="22" r:id="rId6"/>
    <sheet name="1955" sheetId="21" r:id="rId7"/>
    <sheet name="1960" sheetId="20" r:id="rId8"/>
    <sheet name="1967" sheetId="14" r:id="rId9"/>
    <sheet name="1974" sheetId="11" r:id="rId10"/>
    <sheet name="1979" sheetId="19" r:id="rId11"/>
    <sheet name="1985" sheetId="15" r:id="rId12"/>
    <sheet name="1991" sheetId="17" r:id="rId13"/>
    <sheet name="1999" sheetId="10" r:id="rId14"/>
    <sheet name="2004" sheetId="16" r:id="rId15"/>
    <sheet name="2009" sheetId="18" r:id="rId16"/>
    <sheet name="Party%" sheetId="9" r:id="rId17"/>
    <sheet name="HighVotes" sheetId="8" r:id="rId18"/>
  </sheets>
  <calcPr calcId="125725"/>
</workbook>
</file>

<file path=xl/calcChain.xml><?xml version="1.0" encoding="utf-8"?>
<calcChain xmlns="http://schemas.openxmlformats.org/spreadsheetml/2006/main">
  <c r="G102" i="27"/>
  <c r="F102"/>
  <c r="D102"/>
  <c r="V82"/>
  <c r="V78"/>
  <c r="V79"/>
  <c r="V80"/>
  <c r="W79"/>
  <c r="V76"/>
  <c r="V53"/>
  <c r="V52"/>
  <c r="V51"/>
  <c r="V50"/>
  <c r="V49"/>
  <c r="V47"/>
  <c r="R30"/>
  <c r="R29"/>
  <c r="R28"/>
  <c r="R26"/>
  <c r="R25"/>
  <c r="R23"/>
  <c r="O9"/>
  <c r="O5"/>
  <c r="O6"/>
  <c r="O7"/>
  <c r="P8"/>
  <c r="O3"/>
  <c r="B102" l="1"/>
  <c r="W82"/>
  <c r="W81"/>
  <c r="W80"/>
  <c r="W51"/>
  <c r="W50"/>
  <c r="W49"/>
  <c r="S30"/>
  <c r="S29"/>
  <c r="F103"/>
  <c r="S27"/>
  <c r="D103"/>
  <c r="S25"/>
  <c r="P9"/>
  <c r="P7"/>
  <c r="P6"/>
  <c r="P5"/>
  <c r="E103" l="1"/>
  <c r="G103"/>
  <c r="H102"/>
  <c r="H103" s="1"/>
  <c r="C102"/>
  <c r="C103" s="1"/>
  <c r="S26"/>
  <c r="S28"/>
  <c r="W52"/>
  <c r="W53"/>
  <c r="W78"/>
  <c r="G77" i="26" l="1"/>
  <c r="F77"/>
  <c r="E77"/>
  <c r="D77"/>
  <c r="Q60"/>
  <c r="Q64"/>
  <c r="R62"/>
  <c r="R63"/>
  <c r="N41"/>
  <c r="N44"/>
  <c r="N45"/>
  <c r="O44"/>
  <c r="O43"/>
  <c r="P20"/>
  <c r="P21"/>
  <c r="P23"/>
  <c r="P24"/>
  <c r="P25"/>
  <c r="Q24"/>
  <c r="Q23"/>
  <c r="Q22"/>
  <c r="L5"/>
  <c r="L8"/>
  <c r="M7"/>
  <c r="Q58" l="1"/>
  <c r="N39"/>
  <c r="P18"/>
  <c r="L3"/>
  <c r="B77" l="1"/>
  <c r="R64"/>
  <c r="R61"/>
  <c r="O42"/>
  <c r="O41"/>
  <c r="Q25"/>
  <c r="Q21"/>
  <c r="Q20"/>
  <c r="M8"/>
  <c r="M6"/>
  <c r="M5"/>
  <c r="D68" i="24"/>
  <c r="E68"/>
  <c r="M54"/>
  <c r="M57"/>
  <c r="N56"/>
  <c r="E78" i="26" l="1"/>
  <c r="G78"/>
  <c r="F78"/>
  <c r="H77"/>
  <c r="H78" s="1"/>
  <c r="C77"/>
  <c r="C78" s="1"/>
  <c r="D78"/>
  <c r="O45"/>
  <c r="R60"/>
  <c r="M52" i="24"/>
  <c r="K41"/>
  <c r="K42"/>
  <c r="K39"/>
  <c r="S19"/>
  <c r="S20"/>
  <c r="S22"/>
  <c r="S21"/>
  <c r="T21"/>
  <c r="S17"/>
  <c r="K5" l="1"/>
  <c r="K6"/>
  <c r="K3"/>
  <c r="R68" i="25"/>
  <c r="R69"/>
  <c r="R71"/>
  <c r="S70"/>
  <c r="R66"/>
  <c r="Q47"/>
  <c r="Q48"/>
  <c r="Q49"/>
  <c r="Q45"/>
  <c r="S25"/>
  <c r="S26"/>
  <c r="S27"/>
  <c r="S23"/>
  <c r="O5"/>
  <c r="O6"/>
  <c r="O7"/>
  <c r="O3"/>
  <c r="B88"/>
  <c r="E89" s="1"/>
  <c r="S71"/>
  <c r="R48"/>
  <c r="R47"/>
  <c r="T27"/>
  <c r="T26"/>
  <c r="T25"/>
  <c r="P7"/>
  <c r="P6"/>
  <c r="P5"/>
  <c r="B68" i="24"/>
  <c r="D69" s="1"/>
  <c r="N57"/>
  <c r="L41"/>
  <c r="T22"/>
  <c r="T20"/>
  <c r="T19"/>
  <c r="L6"/>
  <c r="L5"/>
  <c r="E64" i="23"/>
  <c r="M20"/>
  <c r="M22"/>
  <c r="F88" i="25" l="1"/>
  <c r="F89" s="1"/>
  <c r="C88"/>
  <c r="C89" s="1"/>
  <c r="D88"/>
  <c r="D89" s="1"/>
  <c r="R49"/>
  <c r="S68"/>
  <c r="S69"/>
  <c r="F68" i="24"/>
  <c r="F69" s="1"/>
  <c r="C68"/>
  <c r="C69" s="1"/>
  <c r="E69"/>
  <c r="L42"/>
  <c r="N54"/>
  <c r="N55"/>
  <c r="M18" i="23"/>
  <c r="L5"/>
  <c r="L7"/>
  <c r="L6"/>
  <c r="L3"/>
  <c r="L53"/>
  <c r="L54"/>
  <c r="L55"/>
  <c r="L51"/>
  <c r="N36"/>
  <c r="N38"/>
  <c r="N39"/>
  <c r="N34"/>
  <c r="F75" i="22"/>
  <c r="P26"/>
  <c r="P25"/>
  <c r="Q25"/>
  <c r="B64" i="23"/>
  <c r="M55"/>
  <c r="E65"/>
  <c r="O38"/>
  <c r="O37"/>
  <c r="O36"/>
  <c r="N22"/>
  <c r="N21"/>
  <c r="N20"/>
  <c r="M7"/>
  <c r="M6"/>
  <c r="M5"/>
  <c r="F64" l="1"/>
  <c r="F65" s="1"/>
  <c r="C64"/>
  <c r="C65" s="1"/>
  <c r="D65"/>
  <c r="O39"/>
  <c r="M53"/>
  <c r="M54"/>
  <c r="O62" i="22" l="1"/>
  <c r="O59"/>
  <c r="O60"/>
  <c r="O61"/>
  <c r="O63"/>
  <c r="O57"/>
  <c r="P62"/>
  <c r="O41"/>
  <c r="O42"/>
  <c r="O43"/>
  <c r="O45"/>
  <c r="O39"/>
  <c r="P44"/>
  <c r="P22" l="1"/>
  <c r="P23"/>
  <c r="P24"/>
  <c r="P20"/>
  <c r="N5"/>
  <c r="N6"/>
  <c r="N7"/>
  <c r="O8"/>
  <c r="N3" l="1"/>
  <c r="B75"/>
  <c r="P63"/>
  <c r="P43"/>
  <c r="P42"/>
  <c r="P41"/>
  <c r="Q26"/>
  <c r="Q24"/>
  <c r="Q23"/>
  <c r="Q22"/>
  <c r="O9"/>
  <c r="O7"/>
  <c r="O6"/>
  <c r="O5"/>
  <c r="E71" i="21"/>
  <c r="L5"/>
  <c r="L6"/>
  <c r="L7"/>
  <c r="L8"/>
  <c r="L3"/>
  <c r="O21"/>
  <c r="O22"/>
  <c r="O23"/>
  <c r="O24"/>
  <c r="O19"/>
  <c r="N56"/>
  <c r="N57"/>
  <c r="N58"/>
  <c r="N54"/>
  <c r="Q38"/>
  <c r="Q39"/>
  <c r="Q41"/>
  <c r="Q36"/>
  <c r="B71"/>
  <c r="O59"/>
  <c r="F71"/>
  <c r="F72" s="1"/>
  <c r="R40"/>
  <c r="R39"/>
  <c r="R38"/>
  <c r="P24"/>
  <c r="P23"/>
  <c r="P22"/>
  <c r="P21"/>
  <c r="M8"/>
  <c r="M7"/>
  <c r="M6"/>
  <c r="M5"/>
  <c r="G75" i="22" l="1"/>
  <c r="G76" s="1"/>
  <c r="C75"/>
  <c r="C76" s="1"/>
  <c r="D75"/>
  <c r="D76" s="1"/>
  <c r="E75"/>
  <c r="E76" s="1"/>
  <c r="P45"/>
  <c r="P59"/>
  <c r="P60"/>
  <c r="P61"/>
  <c r="F76" s="1"/>
  <c r="C71" i="21"/>
  <c r="C72" s="1"/>
  <c r="D71"/>
  <c r="D72" s="1"/>
  <c r="E72"/>
  <c r="R41"/>
  <c r="O56"/>
  <c r="O57"/>
  <c r="O58"/>
  <c r="L3" i="14"/>
  <c r="N47"/>
  <c r="L33"/>
  <c r="N17"/>
  <c r="G68" i="20"/>
  <c r="F68"/>
  <c r="E68"/>
  <c r="O53"/>
  <c r="O54"/>
  <c r="O55"/>
  <c r="O56"/>
  <c r="O51"/>
  <c r="N37"/>
  <c r="N38"/>
  <c r="N41"/>
  <c r="O39"/>
  <c r="N35"/>
  <c r="N21"/>
  <c r="N22"/>
  <c r="N23"/>
  <c r="N24"/>
  <c r="N19"/>
  <c r="O23"/>
  <c r="M5"/>
  <c r="M6"/>
  <c r="M7"/>
  <c r="M8"/>
  <c r="N8"/>
  <c r="M3"/>
  <c r="M55" i="11"/>
  <c r="N38"/>
  <c r="P19"/>
  <c r="O3"/>
  <c r="L50" i="19"/>
  <c r="M33"/>
  <c r="N17"/>
  <c r="L3"/>
  <c r="M45" i="15"/>
  <c r="L31"/>
  <c r="K17"/>
  <c r="L3"/>
  <c r="J49" i="17"/>
  <c r="N34"/>
  <c r="N17"/>
  <c r="L3"/>
  <c r="H62" i="10"/>
  <c r="M49"/>
  <c r="N38"/>
  <c r="N33"/>
  <c r="M17"/>
  <c r="L3"/>
  <c r="L45" i="16"/>
  <c r="O29"/>
  <c r="L15"/>
  <c r="K3"/>
  <c r="N3" i="18"/>
  <c r="K50"/>
  <c r="M33"/>
  <c r="L19"/>
  <c r="B68" i="20" l="1"/>
  <c r="P56"/>
  <c r="P55"/>
  <c r="O41"/>
  <c r="O40"/>
  <c r="O38"/>
  <c r="O37"/>
  <c r="G69"/>
  <c r="F69"/>
  <c r="O22"/>
  <c r="O21"/>
  <c r="N9"/>
  <c r="N7"/>
  <c r="N6"/>
  <c r="N5"/>
  <c r="E61" i="14"/>
  <c r="N19" i="19"/>
  <c r="N20"/>
  <c r="N22"/>
  <c r="L5"/>
  <c r="L6"/>
  <c r="L52"/>
  <c r="L54"/>
  <c r="L53"/>
  <c r="B63"/>
  <c r="M54"/>
  <c r="M38"/>
  <c r="G63" s="1"/>
  <c r="G64" s="1"/>
  <c r="N37"/>
  <c r="M36"/>
  <c r="N36"/>
  <c r="M35"/>
  <c r="N35"/>
  <c r="O22"/>
  <c r="O21"/>
  <c r="O20"/>
  <c r="O19"/>
  <c r="M7"/>
  <c r="M6"/>
  <c r="M5"/>
  <c r="E61" i="17"/>
  <c r="N19"/>
  <c r="N20"/>
  <c r="N23"/>
  <c r="L5"/>
  <c r="L6"/>
  <c r="L8"/>
  <c r="F64" i="18"/>
  <c r="N5"/>
  <c r="N6"/>
  <c r="N8"/>
  <c r="H64"/>
  <c r="O8"/>
  <c r="K52"/>
  <c r="K53"/>
  <c r="L21"/>
  <c r="L22"/>
  <c r="M23"/>
  <c r="M35"/>
  <c r="M36"/>
  <c r="N38"/>
  <c r="B64"/>
  <c r="G65"/>
  <c r="E65"/>
  <c r="L55"/>
  <c r="L54"/>
  <c r="N39"/>
  <c r="N37"/>
  <c r="N36"/>
  <c r="N35"/>
  <c r="M24"/>
  <c r="M22"/>
  <c r="M21"/>
  <c r="O7"/>
  <c r="O6"/>
  <c r="O5"/>
  <c r="M47" i="15"/>
  <c r="M48"/>
  <c r="F58"/>
  <c r="E58"/>
  <c r="L33"/>
  <c r="L34"/>
  <c r="L5"/>
  <c r="L6"/>
  <c r="K19"/>
  <c r="K20"/>
  <c r="N37" i="17"/>
  <c r="N36"/>
  <c r="N38"/>
  <c r="G61"/>
  <c r="J51"/>
  <c r="J52"/>
  <c r="K53"/>
  <c r="M5"/>
  <c r="M6"/>
  <c r="M7"/>
  <c r="M8"/>
  <c r="O19"/>
  <c r="O20"/>
  <c r="O21"/>
  <c r="O22"/>
  <c r="O23"/>
  <c r="O36"/>
  <c r="O37"/>
  <c r="O38"/>
  <c r="K51"/>
  <c r="K52"/>
  <c r="B61"/>
  <c r="G62" s="1"/>
  <c r="C61"/>
  <c r="D61"/>
  <c r="C62"/>
  <c r="D62"/>
  <c r="E62"/>
  <c r="B59" i="16"/>
  <c r="F59"/>
  <c r="G59"/>
  <c r="L17"/>
  <c r="L18"/>
  <c r="M17"/>
  <c r="M18"/>
  <c r="M19"/>
  <c r="K5"/>
  <c r="K6"/>
  <c r="L47"/>
  <c r="L48"/>
  <c r="M50"/>
  <c r="O31"/>
  <c r="O32"/>
  <c r="L5"/>
  <c r="L6"/>
  <c r="L7"/>
  <c r="P31"/>
  <c r="P32"/>
  <c r="P33"/>
  <c r="P34"/>
  <c r="M47"/>
  <c r="M48"/>
  <c r="M49"/>
  <c r="M51"/>
  <c r="C59"/>
  <c r="D59"/>
  <c r="C60"/>
  <c r="D60"/>
  <c r="E60"/>
  <c r="F60"/>
  <c r="G60"/>
  <c r="F62" i="10"/>
  <c r="M19"/>
  <c r="M20"/>
  <c r="N23"/>
  <c r="N24"/>
  <c r="L5"/>
  <c r="L6"/>
  <c r="M8"/>
  <c r="M51"/>
  <c r="M52"/>
  <c r="N35"/>
  <c r="N36"/>
  <c r="M8" i="14"/>
  <c r="N49"/>
  <c r="N50"/>
  <c r="N52"/>
  <c r="L35"/>
  <c r="L36"/>
  <c r="M37"/>
  <c r="N22"/>
  <c r="G61"/>
  <c r="N21"/>
  <c r="F61"/>
  <c r="N20"/>
  <c r="N19"/>
  <c r="L6"/>
  <c r="L5"/>
  <c r="M5" i="15"/>
  <c r="M6"/>
  <c r="M7"/>
  <c r="L19"/>
  <c r="L20"/>
  <c r="L21"/>
  <c r="M33"/>
  <c r="M34"/>
  <c r="M35"/>
  <c r="N47"/>
  <c r="N48"/>
  <c r="N49"/>
  <c r="N50"/>
  <c r="B58"/>
  <c r="C58"/>
  <c r="D58"/>
  <c r="C59"/>
  <c r="D59"/>
  <c r="E59"/>
  <c r="F59"/>
  <c r="M5" i="14"/>
  <c r="M6"/>
  <c r="M7"/>
  <c r="O19"/>
  <c r="O20"/>
  <c r="O21"/>
  <c r="O22"/>
  <c r="M35"/>
  <c r="M36"/>
  <c r="M38"/>
  <c r="O49"/>
  <c r="O50"/>
  <c r="O51"/>
  <c r="O52"/>
  <c r="B61"/>
  <c r="G62" s="1"/>
  <c r="C61"/>
  <c r="D61"/>
  <c r="C62"/>
  <c r="D62"/>
  <c r="E62"/>
  <c r="G70" i="11"/>
  <c r="F70"/>
  <c r="E70"/>
  <c r="M57"/>
  <c r="M58"/>
  <c r="N62"/>
  <c r="N61"/>
  <c r="N40"/>
  <c r="N41"/>
  <c r="N44"/>
  <c r="P26"/>
  <c r="H70" s="1"/>
  <c r="P21"/>
  <c r="P22"/>
  <c r="Q25"/>
  <c r="Q24"/>
  <c r="O6"/>
  <c r="O5"/>
  <c r="P5"/>
  <c r="P6"/>
  <c r="P7"/>
  <c r="Q21"/>
  <c r="Q22"/>
  <c r="Q23"/>
  <c r="Q26"/>
  <c r="O40"/>
  <c r="O41"/>
  <c r="O42"/>
  <c r="O43"/>
  <c r="O44"/>
  <c r="N57"/>
  <c r="N58"/>
  <c r="N59"/>
  <c r="N60"/>
  <c r="B70"/>
  <c r="C70"/>
  <c r="D70"/>
  <c r="C71"/>
  <c r="D71"/>
  <c r="E71"/>
  <c r="F71"/>
  <c r="G71"/>
  <c r="M5" i="10"/>
  <c r="M6"/>
  <c r="M7"/>
  <c r="N19"/>
  <c r="N20"/>
  <c r="N21"/>
  <c r="N22"/>
  <c r="O35"/>
  <c r="O36"/>
  <c r="O37"/>
  <c r="O38"/>
  <c r="N51"/>
  <c r="N52"/>
  <c r="N53"/>
  <c r="N54"/>
  <c r="B62"/>
  <c r="C62"/>
  <c r="D62"/>
  <c r="C63"/>
  <c r="D63"/>
  <c r="E63"/>
  <c r="F63"/>
  <c r="G63"/>
  <c r="C64" i="18"/>
  <c r="C65"/>
  <c r="D64"/>
  <c r="D65"/>
  <c r="L52"/>
  <c r="L53"/>
  <c r="E64" i="19"/>
  <c r="F64"/>
  <c r="C63"/>
  <c r="C64"/>
  <c r="D63"/>
  <c r="D64"/>
  <c r="N38"/>
  <c r="M52"/>
  <c r="M53"/>
  <c r="H65" i="18"/>
  <c r="F65"/>
  <c r="H71" i="11" l="1"/>
  <c r="F62" i="17"/>
  <c r="H63" i="10"/>
  <c r="E69" i="20"/>
  <c r="C68"/>
  <c r="C69" s="1"/>
  <c r="D68"/>
  <c r="D69" s="1"/>
  <c r="O24"/>
  <c r="O25"/>
  <c r="P53"/>
  <c r="P54"/>
  <c r="F62" i="14"/>
</calcChain>
</file>

<file path=xl/sharedStrings.xml><?xml version="1.0" encoding="utf-8"?>
<sst xmlns="http://schemas.openxmlformats.org/spreadsheetml/2006/main" count="3451" uniqueCount="609">
  <si>
    <t>Candidate</t>
  </si>
  <si>
    <t>Party</t>
  </si>
  <si>
    <t>Count 1</t>
  </si>
  <si>
    <t>FG</t>
  </si>
  <si>
    <t>1st</t>
  </si>
  <si>
    <t>Votes</t>
  </si>
  <si>
    <t>Share</t>
  </si>
  <si>
    <t>Seats</t>
  </si>
  <si>
    <t>FF</t>
  </si>
  <si>
    <t>2nd</t>
  </si>
  <si>
    <t>4th</t>
  </si>
  <si>
    <t>SF</t>
  </si>
  <si>
    <t>3rd</t>
  </si>
  <si>
    <t>Lab</t>
  </si>
  <si>
    <t>6th</t>
  </si>
  <si>
    <t>5th</t>
  </si>
  <si>
    <t>-</t>
  </si>
  <si>
    <t>Oth</t>
  </si>
  <si>
    <t>Ind</t>
  </si>
  <si>
    <t>Total</t>
  </si>
  <si>
    <t>GP</t>
  </si>
  <si>
    <t>Vote</t>
  </si>
  <si>
    <t>Area</t>
  </si>
  <si>
    <t>Year</t>
  </si>
  <si>
    <t>Quota</t>
  </si>
  <si>
    <t>Quota level</t>
  </si>
  <si>
    <t>CnaP</t>
  </si>
  <si>
    <t>Nat</t>
  </si>
  <si>
    <t>1974 (18 June) –Belturbet (5 seats) Total Electorate: 7,315 Total Poll: 5,535 Valid Poll: 5,461 Quota: 911</t>
  </si>
  <si>
    <t>Sean Lee*</t>
  </si>
  <si>
    <t>Joseph Maguire*</t>
  </si>
  <si>
    <t>John Smith</t>
  </si>
  <si>
    <t>John McGovern*</t>
  </si>
  <si>
    <t>Hugh McGovern</t>
  </si>
  <si>
    <t>Maeve Melanaphy</t>
  </si>
  <si>
    <t>Frankie McGovern</t>
  </si>
  <si>
    <t>Patrick O'Reilly</t>
  </si>
  <si>
    <t>Fred Bothwell</t>
  </si>
  <si>
    <t>Paddy McPartlin</t>
  </si>
  <si>
    <t>Michael McGovern</t>
  </si>
  <si>
    <t>Cavan (7 seats) Total Electorate: 11,209 Total Poll: 8,240 Valid Poll: 8,110 Quota: 1,014</t>
  </si>
  <si>
    <t>Thomas Brady</t>
  </si>
  <si>
    <t>AE</t>
  </si>
  <si>
    <t>Charlie Boylan</t>
  </si>
  <si>
    <t>Andrew Boylan</t>
  </si>
  <si>
    <t>John C. Lord*</t>
  </si>
  <si>
    <t>Vincent Bartley*</t>
  </si>
  <si>
    <t>Matthew O'Reilly*</t>
  </si>
  <si>
    <t>Patrick Dinneny*</t>
  </si>
  <si>
    <t>John Cassidy</t>
  </si>
  <si>
    <t>Andrew Sexton</t>
  </si>
  <si>
    <t>Thomas O'Connor</t>
  </si>
  <si>
    <t>Brian Rudden</t>
  </si>
  <si>
    <t>Patrick Masterson</t>
  </si>
  <si>
    <t>Paddy Reilly</t>
  </si>
  <si>
    <t>Patrick Conaty*</t>
  </si>
  <si>
    <t>Andrew O'Brien*</t>
  </si>
  <si>
    <t>7th</t>
  </si>
  <si>
    <t>Bailieborough (7 seats) Total Electorate: 10,090 Total Poll: 7,445 Valid Poll: 7,332 Quota: 917</t>
  </si>
  <si>
    <t>David Coleman*</t>
  </si>
  <si>
    <t>Denis Farrelly*</t>
  </si>
  <si>
    <t>Plunkett Farrell*</t>
  </si>
  <si>
    <t>Patrick Smith*</t>
  </si>
  <si>
    <t>Mona Hoban*</t>
  </si>
  <si>
    <t>John Daly</t>
  </si>
  <si>
    <t>Patrick Barry*</t>
  </si>
  <si>
    <t>Peter McCann*</t>
  </si>
  <si>
    <t>Denis Reynolds</t>
  </si>
  <si>
    <t>James Kelly</t>
  </si>
  <si>
    <t>Matthew Maguire</t>
  </si>
  <si>
    <t>Joe O'Neill</t>
  </si>
  <si>
    <t>Kevin Curran</t>
  </si>
  <si>
    <t>Ballyjamesduff (6 seats) Total Electorate: 8,831 Total Poll: 6,746 Valid Poll: 6,654 Quota: 951</t>
  </si>
  <si>
    <t>Packie O'Reilly</t>
  </si>
  <si>
    <t>Patrick Kiernan*</t>
  </si>
  <si>
    <t>Seamus Lynch</t>
  </si>
  <si>
    <t>Kevin Cahill</t>
  </si>
  <si>
    <t>John McKiernan</t>
  </si>
  <si>
    <t>Daniel McDonald*</t>
  </si>
  <si>
    <t>John Lovett</t>
  </si>
  <si>
    <t>Tony Fox</t>
  </si>
  <si>
    <t>James Smith</t>
  </si>
  <si>
    <t>James McGuinn</t>
  </si>
  <si>
    <t>Joseph Maguire</t>
  </si>
  <si>
    <t>John Smyth</t>
  </si>
  <si>
    <t>Arthur McGovern</t>
  </si>
  <si>
    <t>John Duffy</t>
  </si>
  <si>
    <t>Patrick Fitzpatrick</t>
  </si>
  <si>
    <t>Oliver Prunty</t>
  </si>
  <si>
    <t>Francis McCarron</t>
  </si>
  <si>
    <t>John Sexton</t>
  </si>
  <si>
    <t>Patrick Fox</t>
  </si>
  <si>
    <t>John Tully</t>
  </si>
  <si>
    <t>Terence Byrne</t>
  </si>
  <si>
    <t>Kevin Lynch</t>
  </si>
  <si>
    <t>John Gibney</t>
  </si>
  <si>
    <t>Thomas Anderson</t>
  </si>
  <si>
    <t>John Sheridan</t>
  </si>
  <si>
    <t>John Corr*</t>
  </si>
  <si>
    <t>Frank Harrington*</t>
  </si>
  <si>
    <t>Philip Sheridan*</t>
  </si>
  <si>
    <t>John McKiernan*</t>
  </si>
  <si>
    <t>Matthew O'Reilly</t>
  </si>
  <si>
    <t>Patrick Barry</t>
  </si>
  <si>
    <t>Patrick Kiernan</t>
  </si>
  <si>
    <t>Vincent Bartley</t>
  </si>
  <si>
    <t>Seamus Dolan*</t>
  </si>
  <si>
    <t>Bailieborough (7 seats) Total Electorate: 12,368 Total Poll: 8,104 Valid Poll: 7,996 Quota: 1,000</t>
  </si>
  <si>
    <t>Joe O'Reilly*</t>
  </si>
  <si>
    <t>Clifford Kelly*</t>
  </si>
  <si>
    <t>Michael Giles*</t>
  </si>
  <si>
    <t>Paddy McDonald</t>
  </si>
  <si>
    <t>Francis McDermott</t>
  </si>
  <si>
    <t>Turlough Smith</t>
  </si>
  <si>
    <t>Winston Turner*</t>
  </si>
  <si>
    <t>Philomena Keenan</t>
  </si>
  <si>
    <t>Johnny Sherlock</t>
  </si>
  <si>
    <t>Damien Kivlehan</t>
  </si>
  <si>
    <t>CSP</t>
  </si>
  <si>
    <t>Ballyjamesduff (6 seats) Total Electorate: 10.390 Total Poll: 6,271 Valid Poll: 6,135 Quota: 877</t>
  </si>
  <si>
    <t>Paddy O'Reilly*</t>
  </si>
  <si>
    <t>Danny Brady*</t>
  </si>
  <si>
    <t>Francie Fitzsimons*</t>
  </si>
  <si>
    <t>Dessie Boylan*</t>
  </si>
  <si>
    <t>Robert Fausset</t>
  </si>
  <si>
    <t>Pauline Tully</t>
  </si>
  <si>
    <t>Philip Miney*</t>
  </si>
  <si>
    <t>Kate Soden</t>
  </si>
  <si>
    <t>Peter Galligan</t>
  </si>
  <si>
    <t>Tony Smith</t>
  </si>
  <si>
    <t>Sean Smith*</t>
  </si>
  <si>
    <t>Eddie Feeley*</t>
  </si>
  <si>
    <t>Peter McVitty</t>
  </si>
  <si>
    <t>Anthony Vesey*</t>
  </si>
  <si>
    <t>Cormac O'Donnell</t>
  </si>
  <si>
    <t>Seamus Fitzpatrick</t>
  </si>
  <si>
    <t>Peadar Neary</t>
  </si>
  <si>
    <t>Matthew Fitzpatrick*</t>
  </si>
  <si>
    <t>Eamon Dolan</t>
  </si>
  <si>
    <t>Cavan (7 seats) Total Electorate: 13,204 Total Poll: 7,574 Valid Poll: 7,449 Quota: 932</t>
  </si>
  <si>
    <t>Mary McAdam</t>
  </si>
  <si>
    <t>Des Cullen</t>
  </si>
  <si>
    <t>Jim Courtney</t>
  </si>
  <si>
    <t>Dolores Smith*</t>
  </si>
  <si>
    <t>Gerry Murray*</t>
  </si>
  <si>
    <t>T.P. Smith*</t>
  </si>
  <si>
    <t>Madeline Argue</t>
  </si>
  <si>
    <t>Andrew Boylan*</t>
  </si>
  <si>
    <t>Diarmuid Wilson</t>
  </si>
  <si>
    <t>Aidan Boyle*</t>
  </si>
  <si>
    <t>Bailieborough (7 seats) Total Electorate: 13,247 Total Poll: 8,999 Valid Poll: 8,332 Quota: 1,105</t>
  </si>
  <si>
    <t>Turlough Smith*</t>
  </si>
  <si>
    <t>Michael McCarey</t>
  </si>
  <si>
    <t>Eamonn Donnelly</t>
  </si>
  <si>
    <t>Matt McPhillips</t>
  </si>
  <si>
    <t>Margaret O'Reilly</t>
  </si>
  <si>
    <t>Ballyjamesduff (6 seats) Total Electorate: 12,029 Total Poll: 8,015 Valid Poll: 7,898 Quota: 1,129</t>
  </si>
  <si>
    <t>Paddy Smith</t>
  </si>
  <si>
    <t>Shane O'Reilly</t>
  </si>
  <si>
    <t>Mary Brady</t>
  </si>
  <si>
    <t>Pauline Tully-McCauley*</t>
  </si>
  <si>
    <t>Patsy Sheridan</t>
  </si>
  <si>
    <t>Sean Sheridan</t>
  </si>
  <si>
    <t>Margaret Hopkins</t>
  </si>
  <si>
    <t>2004 (11 June) –Belturbet (5 seats) Total Electorate: 9,190 Total Poll: 6,381 Valid Poll: 6,257 Quota: 1,043</t>
  </si>
  <si>
    <t>Maura Maguire Lynch*</t>
  </si>
  <si>
    <t>Peter McVitty*</t>
  </si>
  <si>
    <t>Seamus McGahern</t>
  </si>
  <si>
    <t>Donal Carlin</t>
  </si>
  <si>
    <t>Eddie Fitzpatrick</t>
  </si>
  <si>
    <t>Cavan (7 seats) Total Electorate: 14,238 Total Poll: 8,772 Valid Poll: 8,601 Quota: 1,076</t>
  </si>
  <si>
    <t>Charlie Boylan*</t>
  </si>
  <si>
    <t>Madeline Argue*</t>
  </si>
  <si>
    <t>Paul Cooney</t>
  </si>
  <si>
    <t>Winston Bennett</t>
  </si>
  <si>
    <t>Charlie Fleming*</t>
  </si>
  <si>
    <t>Patricia Walsh</t>
  </si>
  <si>
    <t>Ray Carolan</t>
  </si>
  <si>
    <t>Bailieborough (7 seats) Total Electorate: 11,113 Total Poll: 7,544 Valid Poll: 7,461 Quota: 933</t>
  </si>
  <si>
    <t>Aidan Boyle</t>
  </si>
  <si>
    <t>Timothy Ryan*</t>
  </si>
  <si>
    <t>Michael Smith*</t>
  </si>
  <si>
    <t>May Coleman</t>
  </si>
  <si>
    <t>Jim Patterson</t>
  </si>
  <si>
    <t>Denis Reynolds*</t>
  </si>
  <si>
    <t>Winston Turner</t>
  </si>
  <si>
    <t>Ballyjamesduff (6 seats) Total Electorate: 9,442 Total Poll: 6,157 Valid Poll: 6,091 Quota: 871</t>
  </si>
  <si>
    <t>Philip Miney</t>
  </si>
  <si>
    <t>Seamus Harten</t>
  </si>
  <si>
    <t>Aidan O'Dwyer</t>
  </si>
  <si>
    <t>Robert Fausset*</t>
  </si>
  <si>
    <t>Francie Fitzsimons</t>
  </si>
  <si>
    <t>Cavan (7 seats) Total Electorate: 11,013 Total Poll: 7,686 Valid Poll: 7,555 Quota: 945</t>
  </si>
  <si>
    <t>Veronica Sharkey</t>
  </si>
  <si>
    <t>Gerry Murray</t>
  </si>
  <si>
    <t>1985 (20 June) –Belturbet (5 seats) Total Electorate: 7,938 Total Poll: 6,051 Valid Poll: 5,989 Quota: 999</t>
  </si>
  <si>
    <t>Anthony Vesey</t>
  </si>
  <si>
    <t>Sean Smith</t>
  </si>
  <si>
    <t>Eddie Feeley</t>
  </si>
  <si>
    <t>Ballyjamesduff (6 seats) Total Electorate: 9,252 Total Poll: 6,564 Valid Poll: 6,508 Quota: 930</t>
  </si>
  <si>
    <t>Danny Brady</t>
  </si>
  <si>
    <t>Dessie Boylan</t>
  </si>
  <si>
    <t>Paddy O'Reilly</t>
  </si>
  <si>
    <t>Seamus Lynch*</t>
  </si>
  <si>
    <t>Bailieborough (7 seats) Total Electorate: 10,962 Total Poll: 7,631 Valid Poll: 7,504 Quota: 939</t>
  </si>
  <si>
    <t>Michael Giles</t>
  </si>
  <si>
    <t>Michael Smith</t>
  </si>
  <si>
    <t>Clifford Kelly</t>
  </si>
  <si>
    <t>Mary Smith*</t>
  </si>
  <si>
    <t>Francis McDermott*</t>
  </si>
  <si>
    <t>Gerald Lynch</t>
  </si>
  <si>
    <t>Justin Mackin*</t>
  </si>
  <si>
    <t>Bailieborough (7 seats) Total Electorate: 15,404 Total Poll: 10,307 Valid Poll: 10,178 Quota: 1,273</t>
  </si>
  <si>
    <t>Freddie Kettyle</t>
  </si>
  <si>
    <t>Freddie Kettyle*</t>
  </si>
  <si>
    <t>Paddy McDonald*</t>
  </si>
  <si>
    <t>Michael McCarey*</t>
  </si>
  <si>
    <t>Niamh Smyth</t>
  </si>
  <si>
    <t>David Blake</t>
  </si>
  <si>
    <t>Sean McKiernan*</t>
  </si>
  <si>
    <t>John O'Hare</t>
  </si>
  <si>
    <t>Fergal Curtin</t>
  </si>
  <si>
    <t>Alex Ivanov</t>
  </si>
  <si>
    <t>Cavan (7 seats) Total Electorate: 14,362 Total Poll: 8,995 Valid Poll: 8,838 Quota: 1,105</t>
  </si>
  <si>
    <t>Winston Bennett*</t>
  </si>
  <si>
    <t>Patricia Walsh*</t>
  </si>
  <si>
    <t>Val Smith</t>
  </si>
  <si>
    <t>Liam Hogan</t>
  </si>
  <si>
    <t>Madge Fleming</t>
  </si>
  <si>
    <t>Ballyjamesduff (6 seats) Total Electorate: 14,262 Total Poll: 9,046 Valid Poll: 8,955 Quota: 1,280</t>
  </si>
  <si>
    <t>Paddy Smith*</t>
  </si>
  <si>
    <t>Shane O'Reilly*</t>
  </si>
  <si>
    <t>Mary Brady*</t>
  </si>
  <si>
    <t>Fintan Cahill</t>
  </si>
  <si>
    <t>Connie Colwell</t>
  </si>
  <si>
    <t>Peter G. Brady</t>
  </si>
  <si>
    <t>Ciaran McEvoy</t>
  </si>
  <si>
    <t>John Paul Feeley*</t>
  </si>
  <si>
    <t>Damien Brady</t>
  </si>
  <si>
    <t>John McDonald</t>
  </si>
  <si>
    <t>Sinead Donohoe</t>
  </si>
  <si>
    <t>Joe O'Reilly</t>
  </si>
  <si>
    <t>2009 (5 June) –Belturbet (5 seats) Total Electorate: 10,510 Total Poll: 7,310 Valid Poll: 7,195 Quota: 1,200</t>
  </si>
  <si>
    <t>Patrick O'Reilly*</t>
  </si>
  <si>
    <t>1991 (27 June) –Belturbet (5 seats) Total Electorate: 7,763 Total Poll: 5,537 Valid Poll: 5,488 Quota: 915</t>
  </si>
  <si>
    <t>Matthew Fitzpatrick</t>
  </si>
  <si>
    <t>Maura Maguire*</t>
  </si>
  <si>
    <t>Eamon Dolan*</t>
  </si>
  <si>
    <t>May Smith</t>
  </si>
  <si>
    <t>Pat Tiernan</t>
  </si>
  <si>
    <t>Cavan (7 seats) Total Electorate: 11,865 Total Poll: 7,476 Valid Poll: 7,416 Quota: 928</t>
  </si>
  <si>
    <t>Dolores Smith</t>
  </si>
  <si>
    <t>Breda Elliot</t>
  </si>
  <si>
    <t>Paul Dolan</t>
  </si>
  <si>
    <t>Joe Ennis</t>
  </si>
  <si>
    <t>Mary Smith</t>
  </si>
  <si>
    <t>Ballyjamesduff (6 seats) Total Electorate: 9,049 Total Poll: 6,825 Valid Poll: 6,734 Quota: 963</t>
  </si>
  <si>
    <t>Andy Cullen</t>
  </si>
  <si>
    <t>Jim Geraghty</t>
  </si>
  <si>
    <t>Brian Cahill</t>
  </si>
  <si>
    <t>John Daly*</t>
  </si>
  <si>
    <t>Bailieborough (7 seats) Total Electorate: 10,403 Total Poll: 7,630 Valid Poll: 7,485 Quota: 936</t>
  </si>
  <si>
    <t>Justin Mackin</t>
  </si>
  <si>
    <t>John J. McDermott</t>
  </si>
  <si>
    <t>James Finnegan</t>
  </si>
  <si>
    <t>SFWP</t>
  </si>
  <si>
    <t>1979 (7 June) –Belturbet (5 seats) Total Electorate: 7,166 Total Poll: 5,606 Valid Poll: 5,522 Quota: 921</t>
  </si>
  <si>
    <t>John McGovern</t>
  </si>
  <si>
    <t>Maeve McManus*</t>
  </si>
  <si>
    <t>Ben McHugh</t>
  </si>
  <si>
    <t>Tony Connolly</t>
  </si>
  <si>
    <t>Brian Rudden*</t>
  </si>
  <si>
    <t>Francis Smith</t>
  </si>
  <si>
    <t>Michael Nelson</t>
  </si>
  <si>
    <t>William E. Sherriff</t>
  </si>
  <si>
    <t>Francis McCaughey</t>
  </si>
  <si>
    <t>Brian Finlay</t>
  </si>
  <si>
    <t>Patrick Harwood</t>
  </si>
  <si>
    <t>Cavan (7 seats) Total Electorate: 11,586 Total Poll: 8,667 Valid Poll: 8,528 Quota: 1,067</t>
  </si>
  <si>
    <t>Francis Smith*</t>
  </si>
  <si>
    <t>John Lovett*</t>
  </si>
  <si>
    <t>WP</t>
  </si>
  <si>
    <t>1999 (11 June) –Belturbet (5 seats) Total Electorate: 8,363 Total Poll: 5,869 Valid Poll: 5,789 Quota: 965</t>
  </si>
  <si>
    <t>Michael McGinn</t>
  </si>
  <si>
    <t>Patrick Reilly</t>
  </si>
  <si>
    <t>Demmy McGovern</t>
  </si>
  <si>
    <t>Teddy Emery</t>
  </si>
  <si>
    <t>Peter McGovern</t>
  </si>
  <si>
    <t>1960 (29 June) –Belturbet (5 seats) Total Electorate: 7,657 Total Poll: 5,308 Valid Poll: 5,246 Quota: 875</t>
  </si>
  <si>
    <t>Turnout</t>
  </si>
  <si>
    <t>Sean Lee</t>
  </si>
  <si>
    <t>Patrick Carrigan*</t>
  </si>
  <si>
    <t>Patrick Duffy</t>
  </si>
  <si>
    <t>Francis Dolphin</t>
  </si>
  <si>
    <t>Francis O'Reilly</t>
  </si>
  <si>
    <t>James McArdle*</t>
  </si>
  <si>
    <t>Patrick Cassidy</t>
  </si>
  <si>
    <t>James Dolan</t>
  </si>
  <si>
    <t>Frank Maguire</t>
  </si>
  <si>
    <t>Cavan (7 seats) Total Electorate: 10,402 Total Poll: 6,986 Valid Poll: 6,896 Quota: 863</t>
  </si>
  <si>
    <t>John C. Cole*</t>
  </si>
  <si>
    <t>Charles O'Reilly*</t>
  </si>
  <si>
    <t>James Cassells*</t>
  </si>
  <si>
    <t>John Tierney</t>
  </si>
  <si>
    <t>John O'Callaghan</t>
  </si>
  <si>
    <t>Thomas Duke</t>
  </si>
  <si>
    <t>Frank Harrington</t>
  </si>
  <si>
    <t>Bailieborough (7 seats) Total Electorate: 9,823 Total Poll: 6,689 Valid Poll: 6,597 Quota: 825</t>
  </si>
  <si>
    <t>Patrick Farrell*</t>
  </si>
  <si>
    <t>Joseph Farrelly*</t>
  </si>
  <si>
    <t>John Lynch</t>
  </si>
  <si>
    <t>Eamon McCutcheon*</t>
  </si>
  <si>
    <t>James McGovern</t>
  </si>
  <si>
    <t>John J. Brady*</t>
  </si>
  <si>
    <t>Hugh O'Reilly</t>
  </si>
  <si>
    <t>James Clarke*</t>
  </si>
  <si>
    <t>Ballyjamesduff (6 seats) Total Electorate: 8,810 Total Poll: 6,067 Valid Poll: 5,956 Quota: 851</t>
  </si>
  <si>
    <t>Patrick Tierney</t>
  </si>
  <si>
    <t>Hugh Briody</t>
  </si>
  <si>
    <t>John J. Reilly</t>
  </si>
  <si>
    <t>George Plunkett</t>
  </si>
  <si>
    <t>Patrick Columb</t>
  </si>
  <si>
    <t>Owen O'Reilly*</t>
  </si>
  <si>
    <t>James Hanley</t>
  </si>
  <si>
    <t>Thomas Keogan</t>
  </si>
  <si>
    <t>John Gibney*</t>
  </si>
  <si>
    <t>Cavan (7 seats) Total Electorate: 10,188 Total Poll: 7,757 Valid Poll: 7,656 Quota: 957</t>
  </si>
  <si>
    <t>Bailieborough (7 seats) Total Electorate: 9,206 Total Poll: 7,239 Valid Poll: 7,161 Quota: 896</t>
  </si>
  <si>
    <t>Ballyjamesduff (6 seats) Total Electorate: 8,163 Total Poll: 6,428 Valid Poll: 6,342 Quota: 907</t>
  </si>
  <si>
    <t>1967 (28 June) –Belturbet (5 seats) Total Electorate: 6,900 Total Poll: 5,429 Valid Poll: 5,357 Quota: 893</t>
  </si>
  <si>
    <t>Bailieborough (7 seats) Total Electorate: 10,832 Total Poll: 8,249 Valid Poll: 8,125 Quota: 1,016</t>
  </si>
  <si>
    <t>Edward Bodie</t>
  </si>
  <si>
    <t>Andrew Brady*</t>
  </si>
  <si>
    <t>John Burns</t>
  </si>
  <si>
    <t>John J. Brady</t>
  </si>
  <si>
    <t>Michael Soden</t>
  </si>
  <si>
    <t>Samuel Burrowes</t>
  </si>
  <si>
    <t>John Cosgrave</t>
  </si>
  <si>
    <t>Thomas Smith</t>
  </si>
  <si>
    <t>Ballyjamesduff (6 seats) Total Electorate: 9,659 Total Poll: 7,458 Valid Poll: 7,364 Quota: 1,053</t>
  </si>
  <si>
    <t>Thomas Caffrey</t>
  </si>
  <si>
    <t>Laurence Reilly</t>
  </si>
  <si>
    <t>Owen O'Reilly</t>
  </si>
  <si>
    <t>James Cullen</t>
  </si>
  <si>
    <t>Philip Clarke</t>
  </si>
  <si>
    <t>Thomas Keogan*</t>
  </si>
  <si>
    <t>Noel Kilchrist</t>
  </si>
  <si>
    <t>Cavan (7 seats) Total Electorate: 11,461 Total Poll: 8,328 Valid Poll: 8,230 Quota: 1,029</t>
  </si>
  <si>
    <t>Andrew O'Brien</t>
  </si>
  <si>
    <t>Patrick Dinneny</t>
  </si>
  <si>
    <t>James Cunningham</t>
  </si>
  <si>
    <t>James McGahern</t>
  </si>
  <si>
    <t>Patrick Baxter*</t>
  </si>
  <si>
    <t>Francis Rehill*</t>
  </si>
  <si>
    <t>John Faris</t>
  </si>
  <si>
    <t>1955 (23 June) –Belturbet (5 seats) Total Electorate: 8,436 Total Poll: 6,517 Valid Poll: 6,434 Quota: 1,073</t>
  </si>
  <si>
    <t>Arthur McGovern*</t>
  </si>
  <si>
    <t>John McCorry</t>
  </si>
  <si>
    <t>James McArdle</t>
  </si>
  <si>
    <t>James O'Reilly*</t>
  </si>
  <si>
    <t>William Henderson</t>
  </si>
  <si>
    <t>1950 (20 September) –Belturbet (5 seats) Total Electorate: 9,012 Total Poll: 6,426 Valid Poll: 6,325 Quota: 1,055</t>
  </si>
  <si>
    <t>Seamus Dolan</t>
  </si>
  <si>
    <t>James Coffey*</t>
  </si>
  <si>
    <t>Patrick Prior</t>
  </si>
  <si>
    <t>Hubert Dolan</t>
  </si>
  <si>
    <t>John Reynolds</t>
  </si>
  <si>
    <t>Far</t>
  </si>
  <si>
    <t>Bernard Donohue</t>
  </si>
  <si>
    <t>Francis McGovern</t>
  </si>
  <si>
    <t>Patrick McGinn</t>
  </si>
  <si>
    <t>Cavan (7 seats) Total Electorate: 11,832 Total Poll: 8,010 Valid Poll: 7,860 Quota: 983</t>
  </si>
  <si>
    <t>Patrick Conaty</t>
  </si>
  <si>
    <t>ITGWU</t>
  </si>
  <si>
    <t>Michael Dowd*</t>
  </si>
  <si>
    <t>Francis Rehill</t>
  </si>
  <si>
    <t>John McHugh</t>
  </si>
  <si>
    <t>Philip Cowan</t>
  </si>
  <si>
    <t>Joseph McMahon</t>
  </si>
  <si>
    <t>Edward Sheridan</t>
  </si>
  <si>
    <t>Terence Smith*</t>
  </si>
  <si>
    <t>Hugh Tully</t>
  </si>
  <si>
    <t>Bailieborough (7 seats) Total Electorate: 11,446 Total Poll: 7,926 Valid Poll: 7,817 Quota: 978</t>
  </si>
  <si>
    <t>Andrew Adams*</t>
  </si>
  <si>
    <t>Joseph Farrelly</t>
  </si>
  <si>
    <t>James Clarke</t>
  </si>
  <si>
    <t>John Vogan*</t>
  </si>
  <si>
    <t>Edward Kellett</t>
  </si>
  <si>
    <t>John McGorry</t>
  </si>
  <si>
    <t>Thomas Patterson</t>
  </si>
  <si>
    <t>Bernard Brady</t>
  </si>
  <si>
    <t>Ballyjamesduff (6 seats) Total Electorate: 10,428 Total Poll: 7,393 Valid Poll: 7,292 Quota: 1,042</t>
  </si>
  <si>
    <t>Ind F.</t>
  </si>
  <si>
    <t>James McEvoy</t>
  </si>
  <si>
    <t>Patrick Campbell</t>
  </si>
  <si>
    <t>Philip Sheridan</t>
  </si>
  <si>
    <t>Raphael McKenna*</t>
  </si>
  <si>
    <t>James Keogan*</t>
  </si>
  <si>
    <t>Thomas Gargan</t>
  </si>
  <si>
    <t>Peter Minagh</t>
  </si>
  <si>
    <t>Edward Brady</t>
  </si>
  <si>
    <t>Bailieborough (7 seats) Total Electorate: 12,121 Total Poll: 8,531 Valid Poll: 8,308 Quota: 1,039</t>
  </si>
  <si>
    <t>Andrew Adams</t>
  </si>
  <si>
    <t>P. Tait</t>
  </si>
  <si>
    <t>Old IRA</t>
  </si>
  <si>
    <t>Bernard McCabe</t>
  </si>
  <si>
    <t>Patrick McBride</t>
  </si>
  <si>
    <t>Ballyjamesduff (6 seats) Total Electorate: 11,043 Total Poll: 7,468 Valid Poll: 7,269 Quota: 1,039</t>
  </si>
  <si>
    <t>James Gillic</t>
  </si>
  <si>
    <t>Owen Lynch</t>
  </si>
  <si>
    <t>Owen Smith*</t>
  </si>
  <si>
    <t>1945 (14 June) –Belturbet (5 seats) Total Electorate: 9,583 Total Poll: 6,914 Valid Poll: 6,767 Quota: 1,128</t>
  </si>
  <si>
    <t>F.J. Dolphin</t>
  </si>
  <si>
    <t>Terence McManus</t>
  </si>
  <si>
    <t>T.J. Dolan</t>
  </si>
  <si>
    <t>Myles O'Reilly</t>
  </si>
  <si>
    <t>Philip Reilly</t>
  </si>
  <si>
    <t>Cavan (7 seats) Total Electorate: 12,339 Total Poll: 8,169 Valid Poll: 7,983 Quota: 998</t>
  </si>
  <si>
    <t>John C. Cole</t>
  </si>
  <si>
    <t>Patrick Baxter</t>
  </si>
  <si>
    <t>John Corr</t>
  </si>
  <si>
    <t>George Storey*</t>
  </si>
  <si>
    <t>Niall Smith</t>
  </si>
  <si>
    <t>Thomas Cowan*</t>
  </si>
  <si>
    <t>Thomas O'Reilly</t>
  </si>
  <si>
    <t>Patrick Carrigan</t>
  </si>
  <si>
    <t>Francis McGovern*</t>
  </si>
  <si>
    <t>Michael Cahill</t>
  </si>
  <si>
    <t>John Donohoe</t>
  </si>
  <si>
    <t>1934 (26 June) –Belturbet (7 seats) Total Electorate: 6,698 Total Poll: 5,631 Valid Poll: 5,494 Quota: 687</t>
  </si>
  <si>
    <t>Patrick Gaffney</t>
  </si>
  <si>
    <t>John Dolan</t>
  </si>
  <si>
    <t>J.J. Gleeson*</t>
  </si>
  <si>
    <t>H.T. Small</t>
  </si>
  <si>
    <t>Bartle McGovern</t>
  </si>
  <si>
    <t>Patrick Maguire</t>
  </si>
  <si>
    <t>Patrick McGovern</t>
  </si>
  <si>
    <t>Cavan (8 seats) Total Electorate: 8,297 Total Poll: 6,629 Valid Poll: 6,457 Quota: 718</t>
  </si>
  <si>
    <t>Charles O'Reilly</t>
  </si>
  <si>
    <t>S. Kettyle</t>
  </si>
  <si>
    <t>T.F. Culley</t>
  </si>
  <si>
    <t>Joseph Brady</t>
  </si>
  <si>
    <t>R. Morton</t>
  </si>
  <si>
    <t>Vincent Cullen</t>
  </si>
  <si>
    <t>Hugh Reilly</t>
  </si>
  <si>
    <t>Peter Soden*</t>
  </si>
  <si>
    <t>M. Farrelly</t>
  </si>
  <si>
    <t>Ind Lab</t>
  </si>
  <si>
    <t>Patrick Walsh</t>
  </si>
  <si>
    <t>William O'Donnell</t>
  </si>
  <si>
    <t>S. McDonald</t>
  </si>
  <si>
    <t>Daniel Galligan</t>
  </si>
  <si>
    <t>8th</t>
  </si>
  <si>
    <t>Bailieborough (9 seats) Total Electorate: 8,506 Total Poll: 7,116 Valid Poll: 6,980 Quota: 699</t>
  </si>
  <si>
    <t>Andrew Brady</t>
  </si>
  <si>
    <t>Owen Sheridan*</t>
  </si>
  <si>
    <t>P.J. Cahill*</t>
  </si>
  <si>
    <t>John Clarke</t>
  </si>
  <si>
    <t>Peter Burns</t>
  </si>
  <si>
    <t>Patrick Smith T.D.*</t>
  </si>
  <si>
    <t>Patrick Smith (C'hill)</t>
  </si>
  <si>
    <t>John McCabe*</t>
  </si>
  <si>
    <t>9th</t>
  </si>
  <si>
    <t>Ballyjamesduff (8 seats) Total Electorate: 7,465 Total Poll: 6,033 Valid Poll: 5,839 Quota: 649</t>
  </si>
  <si>
    <t>Raphael McKenna</t>
  </si>
  <si>
    <t>Phil Mooney</t>
  </si>
  <si>
    <t>John Reilly</t>
  </si>
  <si>
    <t>T. Fitzsimons</t>
  </si>
  <si>
    <t>L. Timmons</t>
  </si>
  <si>
    <t>Laurence Brady</t>
  </si>
  <si>
    <t>John F. Corr</t>
  </si>
  <si>
    <t>George McCabe</t>
  </si>
  <si>
    <t>E. McDonnell*</t>
  </si>
  <si>
    <t>H. Morrow*</t>
  </si>
  <si>
    <t>Robert O'Reilly*</t>
  </si>
  <si>
    <t>Frank McKeon*</t>
  </si>
  <si>
    <t>Hugh O'Donoghue*</t>
  </si>
  <si>
    <t>1942 (19 August) – Belturbet (5 seats) Total Electorate: 9,820 Total Poll: 6,284 Valid Poll: 6,098 Quota: 1,017</t>
  </si>
  <si>
    <t>Owen McCaffrey*</t>
  </si>
  <si>
    <t>John Dolan*</t>
  </si>
  <si>
    <t>James Cassells</t>
  </si>
  <si>
    <t>Terence Smith</t>
  </si>
  <si>
    <t>George Storey</t>
  </si>
  <si>
    <t>Thomas Cowan</t>
  </si>
  <si>
    <t>S. Kettyle*</t>
  </si>
  <si>
    <t>C. Cullen</t>
  </si>
  <si>
    <t>F. Murray</t>
  </si>
  <si>
    <t>A. McCarron*</t>
  </si>
  <si>
    <t>Bernard Reilly</t>
  </si>
  <si>
    <t>T.F. Flynn</t>
  </si>
  <si>
    <t>C. Heaslip</t>
  </si>
  <si>
    <t>Bartle Hyland</t>
  </si>
  <si>
    <t>S. McDermott</t>
  </si>
  <si>
    <t>Cavan (7 seats) Total Electorate: 12,787 Total Poll: 6,442 Valid Poll: 6,236 Quota: 780</t>
  </si>
  <si>
    <t>Peter McCann</t>
  </si>
  <si>
    <t>Bailieborough (7 seats) Total Electorate: 12,532 Total Poll: 6,328 Valid Poll: 5,957 Quota: 745</t>
  </si>
  <si>
    <t>James Keelan</t>
  </si>
  <si>
    <t>Daniel McDonald</t>
  </si>
  <si>
    <t>Owen Smith</t>
  </si>
  <si>
    <t>G.F. Mortimer</t>
  </si>
  <si>
    <t>John F. Corr*</t>
  </si>
  <si>
    <t>T. McQuaid</t>
  </si>
  <si>
    <t>J. Cooke</t>
  </si>
  <si>
    <t>Robert O'Reilly</t>
  </si>
  <si>
    <t>Ballyjamesduff (6 seats) Total Electorate: 11,398 Total Poll: 6,563 Valid Poll: 6,344 Quota: 907</t>
  </si>
  <si>
    <t>1928 (28 June) –Belturbet (7 seats) Total Electorate: 7,208 Total Poll: 4,480 Valid Poll: 4,369 Quota: 547</t>
  </si>
  <si>
    <t>Cavan (8 seats) Total Electorate: 8,849 Total Poll: 5,225 Valid Poll: 5,088 Quota: 566</t>
  </si>
  <si>
    <t>Bailieborough (9 seats) Total Electorate: 8,894 Total Poll: 5,190 Valid Poll: 5,094 Quota: 510</t>
  </si>
  <si>
    <t>Ballyjamesduff (8 seats) Total Electorate: 7,853 Total Poll: 4,364 Valid Poll: 4,245 Quota: 472</t>
  </si>
  <si>
    <t>CnaG</t>
  </si>
  <si>
    <t>Owen McCaffrey</t>
  </si>
  <si>
    <t>James O'Reilly</t>
  </si>
  <si>
    <t>James Coffey</t>
  </si>
  <si>
    <t>J.J. Gleeson</t>
  </si>
  <si>
    <t>Michael McGovern*</t>
  </si>
  <si>
    <t>Peter Soden</t>
  </si>
  <si>
    <t>Michael Dowd</t>
  </si>
  <si>
    <t>J. Masterson</t>
  </si>
  <si>
    <t>Michael Reilly</t>
  </si>
  <si>
    <t>Owen Monaghan</t>
  </si>
  <si>
    <t>Patrick Smith</t>
  </si>
  <si>
    <t xml:space="preserve">PA </t>
  </si>
  <si>
    <t>PA</t>
  </si>
  <si>
    <t>Jonathan Reilly</t>
  </si>
  <si>
    <t>T.H. Foster</t>
  </si>
  <si>
    <t>Terence McMahon</t>
  </si>
  <si>
    <t>James Tully</t>
  </si>
  <si>
    <t>Robert Smith</t>
  </si>
  <si>
    <t>John Vogan</t>
  </si>
  <si>
    <t>Frank McKeon</t>
  </si>
  <si>
    <t>Patrick Farrell</t>
  </si>
  <si>
    <t>Owen Sheridan</t>
  </si>
  <si>
    <t>John McCabe</t>
  </si>
  <si>
    <t>Eugene Carroll</t>
  </si>
  <si>
    <t>Terence Brady</t>
  </si>
  <si>
    <t>Terence Clarke</t>
  </si>
  <si>
    <t>Owen Cooney</t>
  </si>
  <si>
    <t>J. Keelan</t>
  </si>
  <si>
    <t>F. McQuaid</t>
  </si>
  <si>
    <t>J.J. O'Reilly</t>
  </si>
  <si>
    <t>E. McDonnell</t>
  </si>
  <si>
    <t>M. Anderson</t>
  </si>
  <si>
    <t>J. Boylan</t>
  </si>
  <si>
    <t>F. Scanlon</t>
  </si>
  <si>
    <t>John J. Sloane</t>
  </si>
  <si>
    <t>Rep</t>
  </si>
  <si>
    <t>1925 (23 June) –Belturbet (7 seats) Total Electorate: 7,170 Total Poll: 4,670 Valid Poll: 4,470 Quota: 559</t>
  </si>
  <si>
    <t>Patrick Keegan</t>
  </si>
  <si>
    <t>Un</t>
  </si>
  <si>
    <t xml:space="preserve">Un </t>
  </si>
  <si>
    <t>Patrick G. McGovern</t>
  </si>
  <si>
    <t>Patrick O. McGovern</t>
  </si>
  <si>
    <t>John P. McGovern</t>
  </si>
  <si>
    <t>Cavan (8 seats) Total Electorate: 8,610 Total Poll: 3,842 Valid Poll: 3,598 Quota: 400</t>
  </si>
  <si>
    <t>James Hawe</t>
  </si>
  <si>
    <t>P. Cusack</t>
  </si>
  <si>
    <t>B. Reilly</t>
  </si>
  <si>
    <t>M. Reilly</t>
  </si>
  <si>
    <t>T. Donohoe</t>
  </si>
  <si>
    <t>John McIntyre</t>
  </si>
  <si>
    <t>M. Farrelly*</t>
  </si>
  <si>
    <t>Bailieborough (9 seats) Total Electorate: 9,437 Total Poll: 5,649 Valid Poll: 5,370 Quota: 538</t>
  </si>
  <si>
    <t>H.M. Murphy</t>
  </si>
  <si>
    <t>P.J. Lennon</t>
  </si>
  <si>
    <t>P. Brady</t>
  </si>
  <si>
    <t>Ind Rep</t>
  </si>
  <si>
    <t>Henry Morrow</t>
  </si>
  <si>
    <t>Michael Corr</t>
  </si>
  <si>
    <t>John O'Reilly</t>
  </si>
  <si>
    <t>John Brady</t>
  </si>
  <si>
    <t>Philip McGahern</t>
  </si>
  <si>
    <t>Joseph Fitzsimons</t>
  </si>
  <si>
    <t>Joseph Gilsenan</t>
  </si>
  <si>
    <t>Eugene Harton</t>
  </si>
  <si>
    <t>Ballyjamesduff (8 seats) Total Electorate: 8,110 Total Poll: 3,942 Valid Poll: 3,672 Quota: 409</t>
  </si>
  <si>
    <t>Terence Brady*</t>
  </si>
  <si>
    <t>Un/PA</t>
  </si>
  <si>
    <t>James Tully*</t>
  </si>
  <si>
    <t>Andrew Tubman</t>
  </si>
  <si>
    <t>George F. Nixon</t>
  </si>
  <si>
    <t>George F. Nixon*</t>
  </si>
  <si>
    <t>James N. Wilson</t>
  </si>
  <si>
    <t>Marcus L.S. Clements</t>
  </si>
  <si>
    <t>Marcus L.S. Clements*</t>
  </si>
  <si>
    <t>William J. Hall</t>
  </si>
  <si>
    <t>Terence F. Sexton</t>
  </si>
  <si>
    <t>John H. Reynolds</t>
  </si>
  <si>
    <t>William McTaggart</t>
  </si>
  <si>
    <t>Patrick J. Cassidy</t>
  </si>
  <si>
    <t>Patrick J. Cassidy*</t>
  </si>
  <si>
    <t>Michael Cahill*</t>
  </si>
  <si>
    <t>Charles P. Fitzpatrick</t>
  </si>
  <si>
    <t>Patrick Gilchreest</t>
  </si>
  <si>
    <t>Thomas Conaty</t>
  </si>
  <si>
    <t>Patrick Fay</t>
  </si>
  <si>
    <t>Patrick A. Galligan*</t>
  </si>
  <si>
    <t>Patrick Carolan</t>
  </si>
  <si>
    <t>Thomas Heuston</t>
  </si>
  <si>
    <t>Michael J. Lynch</t>
  </si>
  <si>
    <t>Patrick Clarke</t>
  </si>
  <si>
    <t>George Gartlan</t>
  </si>
  <si>
    <t>Patrick O'Leary</t>
  </si>
  <si>
    <t>Thomas R. Gordon</t>
  </si>
  <si>
    <t>Patrick Gilshenan</t>
  </si>
  <si>
    <t>Hugh J. Maguire</t>
  </si>
  <si>
    <t>Charles C. Fitzpatrick*</t>
  </si>
  <si>
    <t>John J. Farrelly</t>
  </si>
  <si>
    <t>Philip Tackney</t>
  </si>
  <si>
    <t>Peter P. McDermott</t>
  </si>
</sst>
</file>

<file path=xl/styles.xml><?xml version="1.0" encoding="utf-8"?>
<styleSheet xmlns="http://schemas.openxmlformats.org/spreadsheetml/2006/main">
  <fonts count="67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b/>
      <i/>
      <sz val="11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sz val="11"/>
      <name val="Times New Roman"/>
      <family val="1"/>
    </font>
    <font>
      <b/>
      <sz val="11"/>
      <color indexed="17"/>
      <name val="Arial"/>
      <family val="2"/>
    </font>
    <font>
      <b/>
      <sz val="11"/>
      <color indexed="12"/>
      <name val="Arial"/>
      <family val="2"/>
    </font>
    <font>
      <sz val="11"/>
      <color indexed="50"/>
      <name val="Times New Roman"/>
      <family val="1"/>
    </font>
    <font>
      <b/>
      <sz val="11"/>
      <color indexed="50"/>
      <name val="Arial"/>
      <family val="2"/>
    </font>
    <font>
      <b/>
      <sz val="11"/>
      <color indexed="10"/>
      <name val="Arial"/>
      <family val="2"/>
    </font>
    <font>
      <sz val="11"/>
      <color indexed="17"/>
      <name val="Times New Roman"/>
      <family val="1"/>
    </font>
    <font>
      <sz val="11"/>
      <color indexed="10"/>
      <name val="Times New Roman"/>
      <family val="1"/>
    </font>
    <font>
      <sz val="11"/>
      <color indexed="12"/>
      <name val="Times New Roman"/>
      <family val="1"/>
    </font>
    <font>
      <b/>
      <sz val="11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50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0"/>
      <color indexed="57"/>
      <name val="Arial"/>
      <family val="2"/>
    </font>
    <font>
      <b/>
      <sz val="11"/>
      <color indexed="19"/>
      <name val="Arial"/>
      <family val="2"/>
    </font>
    <font>
      <i/>
      <sz val="11"/>
      <name val="Arial"/>
      <family val="2"/>
    </font>
    <font>
      <b/>
      <sz val="10"/>
      <color indexed="19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50"/>
      <name val="Times New Roman"/>
      <family val="1"/>
    </font>
    <font>
      <sz val="12"/>
      <color indexed="8"/>
      <name val="Times New Roman"/>
      <family val="1"/>
    </font>
    <font>
      <sz val="12"/>
      <color indexed="17"/>
      <name val="Times New Roman"/>
      <family val="1"/>
    </font>
    <font>
      <sz val="12"/>
      <color indexed="6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sz val="11"/>
      <color indexed="49"/>
      <name val="Times New Roman"/>
      <family val="1"/>
    </font>
    <font>
      <sz val="11"/>
      <color indexed="21"/>
      <name val="Times New Roman"/>
      <family val="1"/>
    </font>
    <font>
      <b/>
      <sz val="11"/>
      <color indexed="49"/>
      <name val="Arial"/>
      <family val="2"/>
    </font>
    <font>
      <b/>
      <sz val="10"/>
      <color indexed="49"/>
      <name val="Arial"/>
      <family val="2"/>
    </font>
    <font>
      <b/>
      <sz val="11"/>
      <color indexed="49"/>
      <name val="Times New Roman"/>
      <family val="1"/>
    </font>
    <font>
      <b/>
      <sz val="11"/>
      <color indexed="48"/>
      <name val="Times New Roman"/>
      <family val="1"/>
    </font>
    <font>
      <sz val="11"/>
      <color indexed="19"/>
      <name val="Times New Roman"/>
      <family val="1"/>
    </font>
    <font>
      <sz val="10"/>
      <name val="Arial"/>
      <family val="2"/>
    </font>
    <font>
      <sz val="11"/>
      <color indexed="60"/>
      <name val="Times New Roman"/>
      <family val="1"/>
    </font>
    <font>
      <b/>
      <sz val="11"/>
      <color indexed="60"/>
      <name val="Arial"/>
      <family val="2"/>
    </font>
    <font>
      <sz val="11"/>
      <color rgb="FFFF0000"/>
      <name val="Times New Roman"/>
      <family val="1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1"/>
      <color indexed="16"/>
      <name val="Times New Roman"/>
      <family val="1"/>
    </font>
    <font>
      <b/>
      <sz val="11"/>
      <color indexed="16"/>
      <name val="Times New Roman"/>
      <family val="1"/>
    </font>
    <font>
      <b/>
      <sz val="11"/>
      <color indexed="10"/>
      <name val="Times New Roman"/>
      <family val="1"/>
    </font>
    <font>
      <b/>
      <sz val="11"/>
      <color indexed="60"/>
      <name val="Times New Roman"/>
      <family val="1"/>
    </font>
    <font>
      <b/>
      <sz val="11"/>
      <color indexed="52"/>
      <name val="Times New Roman"/>
      <family val="1"/>
    </font>
    <font>
      <sz val="11"/>
      <color indexed="52"/>
      <name val="Times New Roman"/>
      <family val="1"/>
    </font>
    <font>
      <b/>
      <sz val="11"/>
      <color indexed="52"/>
      <name val="Arial"/>
      <family val="2"/>
    </font>
    <font>
      <b/>
      <sz val="11"/>
      <color indexed="57"/>
      <name val="Times New Roman"/>
      <family val="1"/>
    </font>
    <font>
      <sz val="11"/>
      <color indexed="57"/>
      <name val="Times New Roman"/>
      <family val="1"/>
    </font>
    <font>
      <b/>
      <sz val="10"/>
      <color indexed="5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0" xfId="0" applyFont="1"/>
    <xf numFmtId="0" fontId="7" fillId="0" borderId="0" xfId="0" applyFont="1"/>
    <xf numFmtId="0" fontId="3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3" fontId="3" fillId="0" borderId="4" xfId="0" applyNumberFormat="1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11" fillId="0" borderId="0" xfId="0" applyFont="1"/>
    <xf numFmtId="3" fontId="6" fillId="0" borderId="0" xfId="0" applyNumberFormat="1" applyFont="1"/>
    <xf numFmtId="10" fontId="6" fillId="0" borderId="0" xfId="1" applyNumberFormat="1" applyFont="1"/>
    <xf numFmtId="0" fontId="12" fillId="0" borderId="0" xfId="0" applyFont="1"/>
    <xf numFmtId="0" fontId="10" fillId="0" borderId="3" xfId="0" applyFont="1" applyBorder="1" applyAlignment="1">
      <alignment vertical="top" wrapText="1"/>
    </xf>
    <xf numFmtId="0" fontId="13" fillId="0" borderId="4" xfId="0" applyFont="1" applyBorder="1" applyAlignment="1">
      <alignment vertical="top" wrapText="1"/>
    </xf>
    <xf numFmtId="0" fontId="14" fillId="0" borderId="0" xfId="0" applyFont="1"/>
    <xf numFmtId="0" fontId="8" fillId="0" borderId="4" xfId="0" applyFont="1" applyBorder="1" applyAlignment="1">
      <alignment vertical="top" wrapText="1"/>
    </xf>
    <xf numFmtId="0" fontId="15" fillId="0" borderId="0" xfId="0" applyFont="1"/>
    <xf numFmtId="3" fontId="7" fillId="0" borderId="0" xfId="0" applyNumberFormat="1" applyFont="1"/>
    <xf numFmtId="0" fontId="16" fillId="0" borderId="4" xfId="0" applyFont="1" applyBorder="1" applyAlignment="1">
      <alignment vertical="top" wrapText="1"/>
    </xf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3" fillId="0" borderId="0" xfId="0" applyFont="1" applyFill="1" applyBorder="1" applyAlignment="1">
      <alignment vertical="top" wrapText="1"/>
    </xf>
    <xf numFmtId="3" fontId="20" fillId="0" borderId="0" xfId="0" applyNumberFormat="1" applyFont="1"/>
    <xf numFmtId="3" fontId="0" fillId="0" borderId="0" xfId="0" applyNumberFormat="1"/>
    <xf numFmtId="10" fontId="20" fillId="0" borderId="0" xfId="1" applyNumberFormat="1" applyFont="1"/>
    <xf numFmtId="10" fontId="1" fillId="0" borderId="0" xfId="1" applyNumberFormat="1"/>
    <xf numFmtId="0" fontId="25" fillId="0" borderId="4" xfId="0" applyFont="1" applyBorder="1" applyAlignment="1">
      <alignment vertical="top" wrapText="1"/>
    </xf>
    <xf numFmtId="3" fontId="4" fillId="0" borderId="0" xfId="0" applyNumberFormat="1" applyFont="1"/>
    <xf numFmtId="10" fontId="4" fillId="0" borderId="0" xfId="1" applyNumberFormat="1" applyFont="1"/>
    <xf numFmtId="0" fontId="10" fillId="0" borderId="0" xfId="0" applyFont="1"/>
    <xf numFmtId="0" fontId="26" fillId="0" borderId="4" xfId="0" applyFont="1" applyBorder="1" applyAlignment="1">
      <alignment vertical="top" wrapText="1"/>
    </xf>
    <xf numFmtId="0" fontId="27" fillId="0" borderId="4" xfId="0" applyFont="1" applyBorder="1" applyAlignment="1">
      <alignment vertical="top" wrapText="1"/>
    </xf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3" fontId="32" fillId="0" borderId="0" xfId="0" applyNumberFormat="1" applyFont="1"/>
    <xf numFmtId="0" fontId="33" fillId="0" borderId="0" xfId="0" applyFont="1"/>
    <xf numFmtId="0" fontId="32" fillId="0" borderId="0" xfId="0" applyFont="1"/>
    <xf numFmtId="3" fontId="33" fillId="0" borderId="0" xfId="0" applyNumberFormat="1" applyFont="1"/>
    <xf numFmtId="2" fontId="33" fillId="0" borderId="0" xfId="0" applyNumberFormat="1" applyFont="1" applyAlignment="1">
      <alignment horizontal="center"/>
    </xf>
    <xf numFmtId="3" fontId="32" fillId="0" borderId="1" xfId="0" applyNumberFormat="1" applyFont="1" applyBorder="1" applyAlignment="1">
      <alignment vertical="top" wrapText="1"/>
    </xf>
    <xf numFmtId="0" fontId="32" fillId="0" borderId="2" xfId="0" applyFont="1" applyBorder="1" applyAlignment="1">
      <alignment vertical="top" wrapText="1"/>
    </xf>
    <xf numFmtId="3" fontId="32" fillId="0" borderId="2" xfId="0" applyNumberFormat="1" applyFont="1" applyBorder="1" applyAlignment="1">
      <alignment vertical="top" wrapText="1"/>
    </xf>
    <xf numFmtId="2" fontId="32" fillId="0" borderId="2" xfId="0" applyNumberFormat="1" applyFont="1" applyBorder="1" applyAlignment="1">
      <alignment horizontal="center" vertical="top" wrapText="1"/>
    </xf>
    <xf numFmtId="3" fontId="32" fillId="0" borderId="3" xfId="0" applyNumberFormat="1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3" fontId="33" fillId="0" borderId="4" xfId="0" applyNumberFormat="1" applyFont="1" applyBorder="1" applyAlignment="1">
      <alignment vertical="top" wrapText="1"/>
    </xf>
    <xf numFmtId="0" fontId="35" fillId="0" borderId="4" xfId="0" applyFont="1" applyBorder="1" applyAlignment="1">
      <alignment vertical="top" wrapText="1"/>
    </xf>
    <xf numFmtId="0" fontId="36" fillId="0" borderId="4" xfId="0" applyFont="1" applyBorder="1" applyAlignment="1">
      <alignment vertical="top" wrapText="1"/>
    </xf>
    <xf numFmtId="0" fontId="37" fillId="0" borderId="4" xfId="0" applyFont="1" applyBorder="1" applyAlignment="1">
      <alignment vertical="top" wrapText="1"/>
    </xf>
    <xf numFmtId="0" fontId="38" fillId="0" borderId="4" xfId="0" applyFont="1" applyBorder="1" applyAlignment="1">
      <alignment vertical="top" wrapText="1"/>
    </xf>
    <xf numFmtId="3" fontId="39" fillId="0" borderId="0" xfId="0" applyNumberFormat="1" applyFont="1"/>
    <xf numFmtId="0" fontId="40" fillId="0" borderId="0" xfId="0" applyFont="1"/>
    <xf numFmtId="0" fontId="39" fillId="0" borderId="0" xfId="0" applyFont="1"/>
    <xf numFmtId="3" fontId="40" fillId="0" borderId="0" xfId="0" applyNumberFormat="1" applyFont="1"/>
    <xf numFmtId="2" fontId="40" fillId="0" borderId="0" xfId="0" applyNumberFormat="1" applyFont="1" applyAlignment="1">
      <alignment horizontal="center"/>
    </xf>
    <xf numFmtId="3" fontId="41" fillId="0" borderId="0" xfId="0" applyNumberFormat="1" applyFont="1"/>
    <xf numFmtId="0" fontId="41" fillId="0" borderId="0" xfId="0" applyFont="1"/>
    <xf numFmtId="2" fontId="0" fillId="0" borderId="0" xfId="0" applyNumberFormat="1" applyAlignment="1">
      <alignment horizontal="center"/>
    </xf>
    <xf numFmtId="0" fontId="42" fillId="0" borderId="0" xfId="0" applyFont="1"/>
    <xf numFmtId="0" fontId="43" fillId="0" borderId="0" xfId="0" applyFont="1"/>
    <xf numFmtId="0" fontId="3" fillId="0" borderId="2" xfId="0" applyFont="1" applyBorder="1" applyAlignment="1">
      <alignment vertical="top" wrapText="1"/>
    </xf>
    <xf numFmtId="3" fontId="10" fillId="0" borderId="4" xfId="0" applyNumberFormat="1" applyFont="1" applyBorder="1" applyAlignment="1">
      <alignment vertical="top" wrapText="1"/>
    </xf>
    <xf numFmtId="0" fontId="44" fillId="0" borderId="4" xfId="0" applyFont="1" applyBorder="1" applyAlignment="1">
      <alignment vertical="top" wrapText="1"/>
    </xf>
    <xf numFmtId="0" fontId="45" fillId="0" borderId="4" xfId="0" applyFont="1" applyBorder="1" applyAlignment="1">
      <alignment vertical="top" wrapText="1"/>
    </xf>
    <xf numFmtId="0" fontId="46" fillId="0" borderId="0" xfId="0" applyFont="1"/>
    <xf numFmtId="3" fontId="26" fillId="0" borderId="4" xfId="0" applyNumberFormat="1" applyFont="1" applyBorder="1" applyAlignment="1">
      <alignment vertical="top" wrapText="1"/>
    </xf>
    <xf numFmtId="3" fontId="10" fillId="0" borderId="0" xfId="0" applyNumberFormat="1" applyFont="1" applyBorder="1" applyAlignment="1">
      <alignment vertical="top" wrapText="1"/>
    </xf>
    <xf numFmtId="3" fontId="5" fillId="0" borderId="0" xfId="0" applyNumberFormat="1" applyFont="1" applyBorder="1" applyAlignment="1">
      <alignment vertical="top" wrapText="1"/>
    </xf>
    <xf numFmtId="0" fontId="47" fillId="0" borderId="0" xfId="0" applyFont="1"/>
    <xf numFmtId="0" fontId="48" fillId="0" borderId="4" xfId="0" applyFont="1" applyBorder="1" applyAlignment="1">
      <alignment vertical="top" wrapText="1"/>
    </xf>
    <xf numFmtId="0" fontId="49" fillId="0" borderId="4" xfId="0" applyFont="1" applyBorder="1" applyAlignment="1">
      <alignment vertical="top" wrapText="1"/>
    </xf>
    <xf numFmtId="0" fontId="50" fillId="0" borderId="4" xfId="0" applyFont="1" applyBorder="1" applyAlignment="1">
      <alignment vertical="top" wrapText="1"/>
    </xf>
    <xf numFmtId="0" fontId="54" fillId="0" borderId="4" xfId="0" applyFont="1" applyBorder="1" applyAlignment="1">
      <alignment vertical="top" wrapText="1"/>
    </xf>
    <xf numFmtId="0" fontId="55" fillId="0" borderId="0" xfId="0" applyFont="1"/>
    <xf numFmtId="10" fontId="0" fillId="0" borderId="0" xfId="1" applyNumberFormat="1" applyFont="1"/>
    <xf numFmtId="10" fontId="51" fillId="0" borderId="0" xfId="1" applyNumberFormat="1" applyFont="1"/>
    <xf numFmtId="0" fontId="56" fillId="0" borderId="0" xfId="0" applyFont="1"/>
    <xf numFmtId="0" fontId="52" fillId="0" borderId="4" xfId="0" applyFont="1" applyBorder="1" applyAlignment="1">
      <alignment vertical="top" wrapText="1"/>
    </xf>
    <xf numFmtId="0" fontId="53" fillId="0" borderId="0" xfId="0" applyFont="1"/>
    <xf numFmtId="3" fontId="14" fillId="0" borderId="0" xfId="0" applyNumberFormat="1" applyFont="1"/>
    <xf numFmtId="0" fontId="57" fillId="0" borderId="4" xfId="0" applyFont="1" applyBorder="1" applyAlignment="1">
      <alignment vertical="top" wrapText="1"/>
    </xf>
    <xf numFmtId="0" fontId="58" fillId="0" borderId="4" xfId="0" applyFont="1" applyBorder="1" applyAlignment="1">
      <alignment vertical="top" wrapText="1"/>
    </xf>
    <xf numFmtId="0" fontId="59" fillId="0" borderId="4" xfId="0" applyFont="1" applyBorder="1" applyAlignment="1">
      <alignment vertical="top" wrapText="1"/>
    </xf>
    <xf numFmtId="3" fontId="60" fillId="0" borderId="4" xfId="0" applyNumberFormat="1" applyFont="1" applyBorder="1" applyAlignment="1">
      <alignment vertical="top" wrapText="1"/>
    </xf>
    <xf numFmtId="3" fontId="52" fillId="0" borderId="4" xfId="0" applyNumberFormat="1" applyFont="1" applyBorder="1" applyAlignment="1">
      <alignment vertical="top" wrapText="1"/>
    </xf>
    <xf numFmtId="0" fontId="61" fillId="0" borderId="4" xfId="0" applyFont="1" applyBorder="1" applyAlignment="1">
      <alignment vertical="top" wrapText="1"/>
    </xf>
    <xf numFmtId="0" fontId="62" fillId="0" borderId="4" xfId="0" applyFont="1" applyBorder="1" applyAlignment="1">
      <alignment vertical="top" wrapText="1"/>
    </xf>
    <xf numFmtId="0" fontId="63" fillId="0" borderId="0" xfId="0" applyFont="1"/>
    <xf numFmtId="3" fontId="52" fillId="0" borderId="1" xfId="0" applyNumberFormat="1" applyFont="1" applyBorder="1" applyAlignment="1">
      <alignment vertical="top" wrapText="1"/>
    </xf>
    <xf numFmtId="0" fontId="65" fillId="0" borderId="4" xfId="0" applyFont="1" applyBorder="1" applyAlignment="1">
      <alignment vertical="top" wrapText="1"/>
    </xf>
    <xf numFmtId="0" fontId="64" fillId="0" borderId="4" xfId="0" applyFont="1" applyBorder="1" applyAlignment="1">
      <alignment vertical="top" wrapText="1"/>
    </xf>
    <xf numFmtId="0" fontId="26" fillId="0" borderId="1" xfId="0" applyFont="1" applyBorder="1" applyAlignment="1">
      <alignment vertical="top" wrapText="1"/>
    </xf>
    <xf numFmtId="0" fontId="27" fillId="0" borderId="1" xfId="0" applyFont="1" applyBorder="1" applyAlignment="1">
      <alignment vertical="top" wrapText="1"/>
    </xf>
    <xf numFmtId="0" fontId="66" fillId="0" borderId="0" xfId="0" applyFont="1"/>
    <xf numFmtId="0" fontId="8" fillId="0" borderId="1" xfId="0" applyFont="1" applyBorder="1" applyAlignment="1">
      <alignment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04"/>
  <sheetViews>
    <sheetView workbookViewId="0">
      <selection activeCell="Q1" sqref="Q1"/>
    </sheetView>
  </sheetViews>
  <sheetFormatPr defaultRowHeight="12.75"/>
  <cols>
    <col min="1" max="1" width="23.140625" customWidth="1"/>
    <col min="6" max="6" width="9" customWidth="1"/>
    <col min="13" max="13" width="9.42578125" bestFit="1" customWidth="1"/>
    <col min="16" max="16" width="9.42578125" bestFit="1" customWidth="1"/>
  </cols>
  <sheetData>
    <row r="1" spans="1:17" s="2" customFormat="1" ht="14.25">
      <c r="A1" s="1" t="s">
        <v>546</v>
      </c>
    </row>
    <row r="2" spans="1:17" s="2" customFormat="1" ht="9" customHeight="1" thickBot="1">
      <c r="A2" s="1"/>
    </row>
    <row r="3" spans="1:17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289</v>
      </c>
      <c r="O3" s="39">
        <f>(4670/7170)</f>
        <v>0.65132496513249649</v>
      </c>
    </row>
    <row r="4" spans="1:17" s="2" customFormat="1" ht="15.75" thickBot="1">
      <c r="A4" s="7" t="s">
        <v>511</v>
      </c>
      <c r="B4" s="42" t="s">
        <v>18</v>
      </c>
      <c r="C4" s="76">
        <v>523</v>
      </c>
      <c r="D4" s="76">
        <v>539</v>
      </c>
      <c r="E4" s="76">
        <v>549</v>
      </c>
      <c r="F4" s="76">
        <v>550</v>
      </c>
      <c r="G4" s="76">
        <v>556</v>
      </c>
      <c r="H4" s="9">
        <v>606</v>
      </c>
      <c r="I4" s="76"/>
      <c r="J4" s="76"/>
      <c r="K4" s="76"/>
      <c r="L4" s="76"/>
      <c r="M4" s="75" t="s">
        <v>4</v>
      </c>
      <c r="N4" s="5"/>
      <c r="O4" s="6" t="s">
        <v>5</v>
      </c>
      <c r="P4" s="6" t="s">
        <v>6</v>
      </c>
      <c r="Q4" s="6" t="s">
        <v>7</v>
      </c>
    </row>
    <row r="5" spans="1:17" s="2" customFormat="1" ht="15.75" thickBot="1">
      <c r="A5" s="7" t="s">
        <v>39</v>
      </c>
      <c r="B5" s="42" t="s">
        <v>18</v>
      </c>
      <c r="C5" s="76">
        <v>494</v>
      </c>
      <c r="D5" s="76">
        <v>495</v>
      </c>
      <c r="E5" s="76">
        <v>502</v>
      </c>
      <c r="F5" s="76">
        <v>503</v>
      </c>
      <c r="G5" s="76">
        <v>504</v>
      </c>
      <c r="H5" s="76">
        <v>505</v>
      </c>
      <c r="I5" s="76">
        <v>505</v>
      </c>
      <c r="J5" s="76">
        <v>507</v>
      </c>
      <c r="K5" s="76">
        <v>507</v>
      </c>
      <c r="L5" s="9">
        <v>510</v>
      </c>
      <c r="M5" s="75" t="s">
        <v>10</v>
      </c>
      <c r="N5" s="13" t="s">
        <v>545</v>
      </c>
      <c r="O5" s="14">
        <f>(C16+C18)</f>
        <v>238</v>
      </c>
      <c r="P5" s="15">
        <f>SUM(O5/O10)</f>
        <v>5.3243847874720356E-2</v>
      </c>
      <c r="Q5" s="5"/>
    </row>
    <row r="6" spans="1:17" s="2" customFormat="1" ht="15.75" thickBot="1">
      <c r="A6" s="7" t="s">
        <v>550</v>
      </c>
      <c r="B6" s="98" t="s">
        <v>367</v>
      </c>
      <c r="C6" s="76">
        <v>466</v>
      </c>
      <c r="D6" s="76">
        <v>473</v>
      </c>
      <c r="E6" s="76">
        <v>490</v>
      </c>
      <c r="F6" s="76">
        <v>522</v>
      </c>
      <c r="G6" s="76">
        <v>531</v>
      </c>
      <c r="H6" s="76">
        <v>535</v>
      </c>
      <c r="I6" s="76">
        <v>538</v>
      </c>
      <c r="J6" s="76">
        <v>547</v>
      </c>
      <c r="K6" s="76">
        <v>548</v>
      </c>
      <c r="L6" s="9">
        <v>590</v>
      </c>
      <c r="M6" s="75" t="s">
        <v>9</v>
      </c>
      <c r="N6" s="16" t="s">
        <v>509</v>
      </c>
      <c r="O6" s="14">
        <f>(C7+C8+C9+C11+C14+C15+C17)</f>
        <v>1940</v>
      </c>
      <c r="P6" s="15">
        <f>SUM(O6/O10)</f>
        <v>0.43400447427293065</v>
      </c>
      <c r="Q6" s="5">
        <v>3</v>
      </c>
    </row>
    <row r="7" spans="1:17" s="2" customFormat="1" ht="15.75" thickBot="1">
      <c r="A7" s="7" t="s">
        <v>588</v>
      </c>
      <c r="B7" s="20" t="s">
        <v>509</v>
      </c>
      <c r="C7" s="76">
        <v>441</v>
      </c>
      <c r="D7" s="76">
        <v>442</v>
      </c>
      <c r="E7" s="76">
        <v>446</v>
      </c>
      <c r="F7" s="76">
        <v>448</v>
      </c>
      <c r="G7" s="76">
        <v>448</v>
      </c>
      <c r="H7" s="76">
        <v>448</v>
      </c>
      <c r="I7" s="76">
        <v>448</v>
      </c>
      <c r="J7" s="76">
        <v>454</v>
      </c>
      <c r="K7" s="76">
        <v>454</v>
      </c>
      <c r="L7" s="9">
        <v>476</v>
      </c>
      <c r="M7" s="75" t="s">
        <v>15</v>
      </c>
      <c r="N7" s="93" t="s">
        <v>367</v>
      </c>
      <c r="O7" s="38">
        <f>(C6+C10)</f>
        <v>740</v>
      </c>
      <c r="P7" s="39">
        <f>SUM(O7/O10)</f>
        <v>0.16554809843400448</v>
      </c>
      <c r="Q7" s="2">
        <v>2</v>
      </c>
    </row>
    <row r="8" spans="1:17" s="2" customFormat="1" ht="15.75" thickBot="1">
      <c r="A8" s="7" t="s">
        <v>369</v>
      </c>
      <c r="B8" s="20" t="s">
        <v>509</v>
      </c>
      <c r="C8" s="76">
        <v>414</v>
      </c>
      <c r="D8" s="76">
        <v>417</v>
      </c>
      <c r="E8" s="76">
        <v>422</v>
      </c>
      <c r="F8" s="76">
        <v>467</v>
      </c>
      <c r="G8" s="76">
        <v>484</v>
      </c>
      <c r="H8" s="76">
        <v>487</v>
      </c>
      <c r="I8" s="76">
        <v>488</v>
      </c>
      <c r="J8" s="76">
        <v>493</v>
      </c>
      <c r="K8" s="76">
        <v>496</v>
      </c>
      <c r="L8" s="9">
        <v>546</v>
      </c>
      <c r="M8" s="75" t="s">
        <v>12</v>
      </c>
      <c r="N8" s="102" t="s">
        <v>548</v>
      </c>
      <c r="O8" s="38">
        <v>193</v>
      </c>
      <c r="P8" s="39">
        <f>SUM(O8/O10)</f>
        <v>4.3176733780760625E-2</v>
      </c>
    </row>
    <row r="9" spans="1:17" s="2" customFormat="1" ht="15.75" thickBot="1">
      <c r="A9" s="7" t="s">
        <v>376</v>
      </c>
      <c r="B9" s="20" t="s">
        <v>509</v>
      </c>
      <c r="C9" s="76">
        <v>393</v>
      </c>
      <c r="D9" s="76">
        <v>394</v>
      </c>
      <c r="E9" s="76">
        <v>396</v>
      </c>
      <c r="F9" s="76">
        <v>397</v>
      </c>
      <c r="G9" s="76">
        <v>398</v>
      </c>
      <c r="H9" s="76">
        <v>399</v>
      </c>
      <c r="I9" s="76">
        <v>399</v>
      </c>
      <c r="J9" s="76">
        <v>401</v>
      </c>
      <c r="K9" s="76">
        <v>402</v>
      </c>
      <c r="L9" s="9">
        <v>410</v>
      </c>
      <c r="M9" s="75" t="s">
        <v>57</v>
      </c>
      <c r="N9" s="26" t="s">
        <v>17</v>
      </c>
      <c r="O9" s="38">
        <f>(C4+C5+C12+C19)</f>
        <v>1359</v>
      </c>
      <c r="P9" s="39">
        <f>SUM(O9/O10)</f>
        <v>0.30402684563758392</v>
      </c>
      <c r="Q9" s="2">
        <v>2</v>
      </c>
    </row>
    <row r="10" spans="1:17" s="2" customFormat="1" ht="15.75" thickBot="1">
      <c r="A10" s="7" t="s">
        <v>512</v>
      </c>
      <c r="B10" s="98" t="s">
        <v>367</v>
      </c>
      <c r="C10" s="76">
        <v>274</v>
      </c>
      <c r="D10" s="76">
        <v>278</v>
      </c>
      <c r="E10" s="76">
        <v>283</v>
      </c>
      <c r="F10" s="76">
        <v>294</v>
      </c>
      <c r="G10" s="76">
        <v>303</v>
      </c>
      <c r="H10" s="76">
        <v>306</v>
      </c>
      <c r="I10" s="76">
        <v>308</v>
      </c>
      <c r="J10" s="76">
        <v>319</v>
      </c>
      <c r="K10" s="76">
        <v>443</v>
      </c>
      <c r="L10" s="9">
        <v>475</v>
      </c>
      <c r="M10" s="9" t="s">
        <v>14</v>
      </c>
      <c r="O10" s="22">
        <v>4470</v>
      </c>
    </row>
    <row r="11" spans="1:17" s="2" customFormat="1" ht="15.75" thickBot="1">
      <c r="A11" s="17" t="s">
        <v>587</v>
      </c>
      <c r="B11" s="25" t="s">
        <v>509</v>
      </c>
      <c r="C11" s="76">
        <v>269</v>
      </c>
      <c r="D11" s="76">
        <v>269</v>
      </c>
      <c r="E11" s="76">
        <v>273</v>
      </c>
      <c r="F11" s="76">
        <v>286</v>
      </c>
      <c r="G11" s="76">
        <v>313</v>
      </c>
      <c r="H11" s="76">
        <v>314</v>
      </c>
      <c r="I11" s="76">
        <v>315</v>
      </c>
      <c r="J11" s="76">
        <v>322</v>
      </c>
      <c r="K11" s="76">
        <v>325</v>
      </c>
      <c r="L11" s="76" t="s">
        <v>16</v>
      </c>
    </row>
    <row r="12" spans="1:17" s="2" customFormat="1" ht="15.75" thickBot="1">
      <c r="A12" s="17" t="s">
        <v>513</v>
      </c>
      <c r="B12" s="41" t="s">
        <v>18</v>
      </c>
      <c r="C12" s="76">
        <v>260</v>
      </c>
      <c r="D12" s="76">
        <v>279</v>
      </c>
      <c r="E12" s="76">
        <v>279</v>
      </c>
      <c r="F12" s="76">
        <v>279</v>
      </c>
      <c r="G12" s="76">
        <v>279</v>
      </c>
      <c r="H12" s="76">
        <v>303</v>
      </c>
      <c r="I12" s="76">
        <v>314</v>
      </c>
      <c r="J12" s="76">
        <v>324</v>
      </c>
      <c r="K12" s="76">
        <v>336</v>
      </c>
      <c r="L12" s="76">
        <v>345</v>
      </c>
      <c r="M12" s="75"/>
    </row>
    <row r="13" spans="1:17" s="2" customFormat="1" ht="15.75" thickBot="1">
      <c r="A13" s="17" t="s">
        <v>578</v>
      </c>
      <c r="B13" s="101" t="s">
        <v>548</v>
      </c>
      <c r="C13" s="76">
        <v>193</v>
      </c>
      <c r="D13" s="76">
        <v>196</v>
      </c>
      <c r="E13" s="76">
        <v>196</v>
      </c>
      <c r="F13" s="76">
        <v>196</v>
      </c>
      <c r="G13" s="76">
        <v>201</v>
      </c>
      <c r="H13" s="76">
        <v>205</v>
      </c>
      <c r="I13" s="76">
        <v>206</v>
      </c>
      <c r="J13" s="76">
        <v>211</v>
      </c>
      <c r="K13" s="76" t="s">
        <v>16</v>
      </c>
    </row>
    <row r="14" spans="1:17" s="2" customFormat="1" ht="15.75" thickBot="1">
      <c r="A14" s="17" t="s">
        <v>586</v>
      </c>
      <c r="B14" s="25" t="s">
        <v>509</v>
      </c>
      <c r="C14" s="76">
        <v>163</v>
      </c>
      <c r="D14" s="76">
        <v>164</v>
      </c>
      <c r="E14" s="76">
        <v>166</v>
      </c>
      <c r="F14" s="76">
        <v>168</v>
      </c>
      <c r="G14" s="76">
        <v>183</v>
      </c>
      <c r="H14" s="76">
        <v>186</v>
      </c>
      <c r="I14" s="76">
        <v>188</v>
      </c>
      <c r="J14" s="76" t="s">
        <v>16</v>
      </c>
    </row>
    <row r="15" spans="1:17" s="2" customFormat="1" ht="15.75" thickBot="1">
      <c r="A15" s="17" t="s">
        <v>551</v>
      </c>
      <c r="B15" s="25" t="s">
        <v>509</v>
      </c>
      <c r="C15" s="76">
        <v>132</v>
      </c>
      <c r="D15" s="76">
        <v>132</v>
      </c>
      <c r="E15" s="76">
        <v>132</v>
      </c>
      <c r="F15" s="76" t="s">
        <v>16</v>
      </c>
    </row>
    <row r="16" spans="1:17" s="2" customFormat="1" ht="15.75" thickBot="1">
      <c r="A16" s="17" t="s">
        <v>604</v>
      </c>
      <c r="B16" s="23" t="s">
        <v>545</v>
      </c>
      <c r="C16" s="76">
        <v>131</v>
      </c>
      <c r="D16" s="76">
        <v>131</v>
      </c>
      <c r="E16" s="76">
        <v>145</v>
      </c>
      <c r="F16" s="76">
        <v>148</v>
      </c>
      <c r="G16" s="76">
        <v>150</v>
      </c>
      <c r="H16" s="76" t="s">
        <v>16</v>
      </c>
    </row>
    <row r="17" spans="1:20" s="2" customFormat="1" ht="15.75" thickBot="1">
      <c r="A17" s="17" t="s">
        <v>547</v>
      </c>
      <c r="B17" s="25" t="s">
        <v>509</v>
      </c>
      <c r="C17" s="76">
        <v>128</v>
      </c>
      <c r="D17" s="76">
        <v>133</v>
      </c>
      <c r="E17" s="76">
        <v>135</v>
      </c>
      <c r="F17" s="76">
        <v>135</v>
      </c>
      <c r="G17" s="76" t="s">
        <v>16</v>
      </c>
    </row>
    <row r="18" spans="1:20" s="2" customFormat="1" ht="15.75" thickBot="1">
      <c r="A18" s="17" t="s">
        <v>552</v>
      </c>
      <c r="B18" s="23" t="s">
        <v>545</v>
      </c>
      <c r="C18" s="76">
        <v>107</v>
      </c>
      <c r="D18" s="76">
        <v>107</v>
      </c>
      <c r="E18" s="76" t="s">
        <v>16</v>
      </c>
    </row>
    <row r="19" spans="1:20" s="2" customFormat="1" ht="15.75" thickBot="1">
      <c r="A19" s="17" t="s">
        <v>87</v>
      </c>
      <c r="B19" s="41" t="s">
        <v>18</v>
      </c>
      <c r="C19" s="76">
        <v>82</v>
      </c>
      <c r="D19" s="76" t="s">
        <v>16</v>
      </c>
      <c r="I19" s="38"/>
      <c r="J19" s="38"/>
    </row>
    <row r="20" spans="1:20" s="2" customFormat="1" ht="14.25">
      <c r="C20" s="38"/>
    </row>
    <row r="21" spans="1:20" s="2" customFormat="1" ht="14.25">
      <c r="A21" s="1" t="s">
        <v>553</v>
      </c>
    </row>
    <row r="22" spans="1:20" s="2" customFormat="1" ht="9.75" customHeight="1" thickBot="1">
      <c r="A22" s="1"/>
    </row>
    <row r="23" spans="1:20" s="2" customFormat="1" ht="15.75" thickBot="1">
      <c r="A23" s="3" t="s">
        <v>0</v>
      </c>
      <c r="B23" s="4" t="s">
        <v>1</v>
      </c>
      <c r="C23" s="4" t="s">
        <v>2</v>
      </c>
      <c r="D23" s="4">
        <v>2</v>
      </c>
      <c r="E23" s="4">
        <v>3</v>
      </c>
      <c r="F23" s="4">
        <v>4</v>
      </c>
      <c r="G23" s="4">
        <v>5</v>
      </c>
      <c r="H23" s="4">
        <v>6</v>
      </c>
      <c r="I23" s="4">
        <v>7</v>
      </c>
      <c r="J23" s="4">
        <v>8</v>
      </c>
      <c r="K23" s="4">
        <v>9</v>
      </c>
      <c r="L23" s="4">
        <v>10</v>
      </c>
      <c r="M23" s="4">
        <v>11</v>
      </c>
      <c r="N23" s="4">
        <v>12</v>
      </c>
      <c r="O23" s="4">
        <v>13</v>
      </c>
      <c r="P23" s="4"/>
      <c r="Q23" s="6" t="s">
        <v>289</v>
      </c>
      <c r="R23" s="39">
        <f>(3842/8610)</f>
        <v>0.44622531939605109</v>
      </c>
    </row>
    <row r="24" spans="1:20" s="2" customFormat="1" ht="15.75" thickBot="1">
      <c r="A24" s="7" t="s">
        <v>560</v>
      </c>
      <c r="B24" s="97" t="s">
        <v>13</v>
      </c>
      <c r="C24" s="76">
        <v>360</v>
      </c>
      <c r="D24" s="76">
        <v>361</v>
      </c>
      <c r="E24" s="76">
        <v>361</v>
      </c>
      <c r="F24" s="76">
        <v>365</v>
      </c>
      <c r="G24" s="76">
        <v>366</v>
      </c>
      <c r="H24" s="76">
        <v>373</v>
      </c>
      <c r="I24" s="76">
        <v>373</v>
      </c>
      <c r="J24" s="76">
        <v>375</v>
      </c>
      <c r="K24" s="9">
        <v>401</v>
      </c>
      <c r="L24" s="76"/>
      <c r="M24" s="76"/>
      <c r="N24" s="76"/>
      <c r="O24" s="76"/>
      <c r="P24" s="75" t="s">
        <v>9</v>
      </c>
      <c r="Q24" s="5"/>
      <c r="R24" s="6" t="s">
        <v>5</v>
      </c>
      <c r="S24" s="6" t="s">
        <v>6</v>
      </c>
      <c r="T24" s="6" t="s">
        <v>7</v>
      </c>
    </row>
    <row r="25" spans="1:20" s="2" customFormat="1" ht="15.75" thickBot="1">
      <c r="A25" s="7" t="s">
        <v>595</v>
      </c>
      <c r="B25" s="20" t="s">
        <v>509</v>
      </c>
      <c r="C25" s="76">
        <v>352</v>
      </c>
      <c r="D25" s="76">
        <v>353</v>
      </c>
      <c r="E25" s="76">
        <v>369</v>
      </c>
      <c r="F25" s="9">
        <v>404</v>
      </c>
      <c r="G25" s="76"/>
      <c r="H25" s="76"/>
      <c r="I25" s="76"/>
      <c r="J25" s="76"/>
      <c r="K25" s="76"/>
      <c r="L25" s="76"/>
      <c r="M25" s="76"/>
      <c r="N25" s="76"/>
      <c r="O25" s="76"/>
      <c r="P25" s="75" t="s">
        <v>4</v>
      </c>
      <c r="Q25" s="13" t="s">
        <v>545</v>
      </c>
      <c r="R25" s="14">
        <f>(C36+C37)</f>
        <v>290</v>
      </c>
      <c r="S25" s="15">
        <f>SUM(R25/R31)</f>
        <v>8.0600333518621461E-2</v>
      </c>
      <c r="T25" s="5">
        <v>1</v>
      </c>
    </row>
    <row r="26" spans="1:20" s="2" customFormat="1" ht="15.75" thickBot="1">
      <c r="A26" s="7" t="s">
        <v>584</v>
      </c>
      <c r="B26" s="100" t="s">
        <v>549</v>
      </c>
      <c r="C26" s="76">
        <v>283</v>
      </c>
      <c r="D26" s="76">
        <v>284</v>
      </c>
      <c r="E26" s="76">
        <v>287</v>
      </c>
      <c r="F26" s="76">
        <v>288</v>
      </c>
      <c r="G26" s="76">
        <v>288</v>
      </c>
      <c r="H26" s="76">
        <v>291</v>
      </c>
      <c r="I26" s="76">
        <v>292</v>
      </c>
      <c r="J26" s="76">
        <v>292</v>
      </c>
      <c r="K26" s="76">
        <v>297</v>
      </c>
      <c r="L26" s="76">
        <v>331</v>
      </c>
      <c r="M26" s="76">
        <v>332</v>
      </c>
      <c r="N26" s="76">
        <v>336</v>
      </c>
      <c r="O26" s="9">
        <v>341</v>
      </c>
      <c r="P26" s="75" t="s">
        <v>10</v>
      </c>
      <c r="Q26" s="16" t="s">
        <v>509</v>
      </c>
      <c r="R26" s="14">
        <f>(C25+C31+C33+C41+C42)</f>
        <v>906</v>
      </c>
      <c r="S26" s="15">
        <f>SUM(R26/R31)</f>
        <v>0.2518065591995553</v>
      </c>
      <c r="T26" s="5">
        <v>1</v>
      </c>
    </row>
    <row r="27" spans="1:20" s="2" customFormat="1" ht="15.75" thickBot="1">
      <c r="A27" s="7" t="s">
        <v>516</v>
      </c>
      <c r="B27" s="98" t="s">
        <v>367</v>
      </c>
      <c r="C27" s="76">
        <v>232</v>
      </c>
      <c r="D27" s="76">
        <v>234</v>
      </c>
      <c r="E27" s="76">
        <v>244</v>
      </c>
      <c r="F27" s="76">
        <v>247</v>
      </c>
      <c r="G27" s="76">
        <v>247</v>
      </c>
      <c r="H27" s="76">
        <v>267</v>
      </c>
      <c r="I27" s="76">
        <v>272</v>
      </c>
      <c r="J27" s="76">
        <v>276</v>
      </c>
      <c r="K27" s="76">
        <v>281</v>
      </c>
      <c r="L27" s="76">
        <v>283</v>
      </c>
      <c r="M27" s="76">
        <v>342</v>
      </c>
      <c r="N27" s="76">
        <v>360</v>
      </c>
      <c r="O27" s="9">
        <v>364</v>
      </c>
      <c r="P27" s="75" t="s">
        <v>12</v>
      </c>
      <c r="Q27" s="21" t="s">
        <v>13</v>
      </c>
      <c r="R27" s="38">
        <v>360</v>
      </c>
      <c r="S27" s="39">
        <f>SUM(R27/R31)</f>
        <v>0.1000555864369094</v>
      </c>
      <c r="T27" s="2">
        <v>1</v>
      </c>
    </row>
    <row r="28" spans="1:20" s="2" customFormat="1" ht="15.75" thickBot="1">
      <c r="A28" s="7" t="s">
        <v>555</v>
      </c>
      <c r="B28" s="42" t="s">
        <v>18</v>
      </c>
      <c r="C28" s="76">
        <v>217</v>
      </c>
      <c r="D28" s="76">
        <v>232</v>
      </c>
      <c r="E28" s="76">
        <v>245</v>
      </c>
      <c r="F28" s="76">
        <v>245</v>
      </c>
      <c r="G28" s="76">
        <v>245</v>
      </c>
      <c r="H28" s="76">
        <v>271</v>
      </c>
      <c r="I28" s="76">
        <v>271</v>
      </c>
      <c r="J28" s="76">
        <v>272</v>
      </c>
      <c r="K28" s="76">
        <v>278</v>
      </c>
      <c r="L28" s="76">
        <v>278</v>
      </c>
      <c r="M28" s="76">
        <v>281</v>
      </c>
      <c r="N28" s="76">
        <v>318</v>
      </c>
      <c r="O28" s="9">
        <v>336</v>
      </c>
      <c r="P28" s="9" t="s">
        <v>15</v>
      </c>
      <c r="Q28" s="93" t="s">
        <v>367</v>
      </c>
      <c r="R28" s="38">
        <f>(C27+C29+C30+C35)</f>
        <v>804</v>
      </c>
      <c r="S28" s="39">
        <f>SUM(R28/R31)</f>
        <v>0.22345747637576432</v>
      </c>
      <c r="T28" s="2">
        <v>2</v>
      </c>
    </row>
    <row r="29" spans="1:20" s="2" customFormat="1" ht="15.75" thickBot="1">
      <c r="A29" s="7" t="s">
        <v>526</v>
      </c>
      <c r="B29" s="98" t="s">
        <v>367</v>
      </c>
      <c r="C29" s="76">
        <v>213</v>
      </c>
      <c r="D29" s="76">
        <v>214</v>
      </c>
      <c r="E29" s="76">
        <v>214</v>
      </c>
      <c r="F29" s="76">
        <v>214</v>
      </c>
      <c r="G29" s="76">
        <v>214</v>
      </c>
      <c r="H29" s="76">
        <v>214</v>
      </c>
      <c r="I29" s="76">
        <v>249</v>
      </c>
      <c r="J29" s="76">
        <v>255</v>
      </c>
      <c r="K29" s="76">
        <v>260</v>
      </c>
      <c r="L29" s="76">
        <v>264</v>
      </c>
      <c r="M29" s="76">
        <v>283</v>
      </c>
      <c r="N29" s="76">
        <v>283</v>
      </c>
      <c r="O29" s="9">
        <v>293</v>
      </c>
      <c r="P29" s="9" t="s">
        <v>57</v>
      </c>
      <c r="Q29" s="102" t="s">
        <v>548</v>
      </c>
      <c r="R29" s="38">
        <f>(C26+C32+C34)</f>
        <v>632</v>
      </c>
      <c r="S29" s="39">
        <f>SUM(R29/R31)</f>
        <v>0.17565314063368537</v>
      </c>
      <c r="T29" s="2">
        <v>2</v>
      </c>
    </row>
    <row r="30" spans="1:20" s="2" customFormat="1" ht="15.75" thickBot="1">
      <c r="A30" s="17" t="s">
        <v>444</v>
      </c>
      <c r="B30" s="99" t="s">
        <v>367</v>
      </c>
      <c r="C30" s="76">
        <v>200</v>
      </c>
      <c r="D30" s="76">
        <v>201</v>
      </c>
      <c r="E30" s="76">
        <v>202</v>
      </c>
      <c r="F30" s="76">
        <v>202</v>
      </c>
      <c r="G30" s="76">
        <v>202</v>
      </c>
      <c r="H30" s="76">
        <v>206</v>
      </c>
      <c r="I30" s="76">
        <v>229</v>
      </c>
      <c r="J30" s="76">
        <v>242</v>
      </c>
      <c r="K30" s="76">
        <v>245</v>
      </c>
      <c r="L30" s="76">
        <v>246</v>
      </c>
      <c r="M30" s="76">
        <v>253</v>
      </c>
      <c r="N30" s="76">
        <v>254</v>
      </c>
      <c r="O30" s="76">
        <v>267</v>
      </c>
      <c r="P30" s="9"/>
      <c r="Q30" s="26" t="s">
        <v>17</v>
      </c>
      <c r="R30" s="14">
        <f>(C28+C38+C39+C40+C43)</f>
        <v>606</v>
      </c>
      <c r="S30" s="15">
        <f>SUM(R30/R31)</f>
        <v>0.16842690383546416</v>
      </c>
      <c r="T30" s="5">
        <v>1</v>
      </c>
    </row>
    <row r="31" spans="1:20" s="2" customFormat="1" ht="15.75" thickBot="1">
      <c r="A31" s="17" t="s">
        <v>594</v>
      </c>
      <c r="B31" s="25" t="s">
        <v>509</v>
      </c>
      <c r="C31" s="76">
        <v>199</v>
      </c>
      <c r="D31" s="76">
        <v>199</v>
      </c>
      <c r="E31" s="76">
        <v>202</v>
      </c>
      <c r="F31" s="76">
        <v>203</v>
      </c>
      <c r="G31" s="76">
        <v>203</v>
      </c>
      <c r="H31" s="76">
        <v>208</v>
      </c>
      <c r="I31" s="76">
        <v>208</v>
      </c>
      <c r="J31" s="76">
        <v>209</v>
      </c>
      <c r="K31" s="76">
        <v>210</v>
      </c>
      <c r="L31" s="76">
        <v>210</v>
      </c>
      <c r="M31" s="76">
        <v>210</v>
      </c>
      <c r="N31" s="76" t="s">
        <v>16</v>
      </c>
      <c r="R31" s="22">
        <v>3598</v>
      </c>
    </row>
    <row r="32" spans="1:20" s="2" customFormat="1" ht="15.75" thickBot="1">
      <c r="A32" s="7" t="s">
        <v>554</v>
      </c>
      <c r="B32" s="100" t="s">
        <v>549</v>
      </c>
      <c r="C32" s="76">
        <v>183</v>
      </c>
      <c r="D32" s="76">
        <v>191</v>
      </c>
      <c r="E32" s="76">
        <v>193</v>
      </c>
      <c r="F32" s="76">
        <v>193</v>
      </c>
      <c r="G32" s="76">
        <v>193</v>
      </c>
      <c r="H32" s="76">
        <v>209</v>
      </c>
      <c r="I32" s="76">
        <v>210</v>
      </c>
      <c r="J32" s="76">
        <v>211</v>
      </c>
      <c r="K32" s="76">
        <v>214</v>
      </c>
      <c r="L32" s="76">
        <v>247</v>
      </c>
      <c r="M32" s="76">
        <v>253</v>
      </c>
      <c r="N32" s="76">
        <v>269</v>
      </c>
      <c r="O32" s="9">
        <v>294</v>
      </c>
      <c r="P32" s="9" t="s">
        <v>14</v>
      </c>
    </row>
    <row r="33" spans="1:24" s="2" customFormat="1" ht="15.75" thickBot="1">
      <c r="A33" s="17" t="s">
        <v>593</v>
      </c>
      <c r="B33" s="25" t="s">
        <v>509</v>
      </c>
      <c r="C33" s="76">
        <v>182</v>
      </c>
      <c r="D33" s="76">
        <v>193</v>
      </c>
      <c r="E33" s="76">
        <v>194</v>
      </c>
      <c r="F33" s="76">
        <v>198</v>
      </c>
      <c r="G33" s="76">
        <v>200</v>
      </c>
      <c r="H33" s="76">
        <v>201</v>
      </c>
      <c r="I33" s="76">
        <v>211</v>
      </c>
      <c r="J33" s="76">
        <v>211</v>
      </c>
      <c r="K33" s="76">
        <v>213</v>
      </c>
      <c r="L33" s="76">
        <v>215</v>
      </c>
      <c r="M33" s="76">
        <v>217</v>
      </c>
      <c r="N33" s="76">
        <v>228</v>
      </c>
      <c r="O33" s="76" t="s">
        <v>16</v>
      </c>
    </row>
    <row r="34" spans="1:24" s="2" customFormat="1" ht="15.75" thickBot="1">
      <c r="A34" s="17" t="s">
        <v>482</v>
      </c>
      <c r="B34" s="101" t="s">
        <v>549</v>
      </c>
      <c r="C34" s="76">
        <v>166</v>
      </c>
      <c r="D34" s="76">
        <v>166</v>
      </c>
      <c r="E34" s="76">
        <v>166</v>
      </c>
      <c r="F34" s="76">
        <v>167</v>
      </c>
      <c r="G34" s="76">
        <v>167</v>
      </c>
      <c r="H34" s="76">
        <v>167</v>
      </c>
      <c r="I34" s="76">
        <v>168</v>
      </c>
      <c r="J34" s="76">
        <v>185</v>
      </c>
      <c r="K34" s="76">
        <v>189</v>
      </c>
      <c r="L34" s="76" t="s">
        <v>16</v>
      </c>
    </row>
    <row r="35" spans="1:24" s="2" customFormat="1" ht="15.75" thickBot="1">
      <c r="A35" s="17" t="s">
        <v>284</v>
      </c>
      <c r="B35" s="99" t="s">
        <v>367</v>
      </c>
      <c r="C35" s="76">
        <v>159</v>
      </c>
      <c r="D35" s="76">
        <v>159</v>
      </c>
      <c r="E35" s="76">
        <v>160</v>
      </c>
      <c r="F35" s="76">
        <v>171</v>
      </c>
      <c r="G35" s="76">
        <v>172</v>
      </c>
      <c r="H35" s="76">
        <v>174</v>
      </c>
      <c r="I35" s="76">
        <v>182</v>
      </c>
      <c r="J35" s="76">
        <v>186</v>
      </c>
      <c r="K35" s="76">
        <v>194</v>
      </c>
      <c r="L35" s="76">
        <v>199</v>
      </c>
      <c r="M35" s="76" t="s">
        <v>16</v>
      </c>
    </row>
    <row r="36" spans="1:24" s="2" customFormat="1" ht="15.75" thickBot="1">
      <c r="A36" s="7" t="s">
        <v>605</v>
      </c>
      <c r="B36" s="8" t="s">
        <v>545</v>
      </c>
      <c r="C36" s="76">
        <v>145</v>
      </c>
      <c r="D36" s="76">
        <v>146</v>
      </c>
      <c r="E36" s="76">
        <v>147</v>
      </c>
      <c r="F36" s="76">
        <v>161</v>
      </c>
      <c r="G36" s="76">
        <v>161</v>
      </c>
      <c r="H36" s="76">
        <v>161</v>
      </c>
      <c r="I36" s="76">
        <v>162</v>
      </c>
      <c r="J36" s="76">
        <v>164</v>
      </c>
      <c r="K36" s="76">
        <v>232</v>
      </c>
      <c r="L36" s="76">
        <v>235</v>
      </c>
      <c r="M36" s="76">
        <v>253</v>
      </c>
      <c r="N36" s="76">
        <v>272</v>
      </c>
      <c r="O36" s="9">
        <v>288</v>
      </c>
      <c r="P36" s="9" t="s">
        <v>452</v>
      </c>
    </row>
    <row r="37" spans="1:24" s="2" customFormat="1" ht="15.75" thickBot="1">
      <c r="A37" s="17" t="s">
        <v>470</v>
      </c>
      <c r="B37" s="23" t="s">
        <v>545</v>
      </c>
      <c r="C37" s="76">
        <v>145</v>
      </c>
      <c r="D37" s="76">
        <v>145</v>
      </c>
      <c r="E37" s="76">
        <v>146</v>
      </c>
      <c r="F37" s="76">
        <v>149</v>
      </c>
      <c r="G37" s="76">
        <v>149</v>
      </c>
      <c r="H37" s="76">
        <v>149</v>
      </c>
      <c r="I37" s="76">
        <v>149</v>
      </c>
      <c r="J37" s="76">
        <v>155</v>
      </c>
      <c r="K37" s="76" t="s">
        <v>16</v>
      </c>
    </row>
    <row r="38" spans="1:24" s="2" customFormat="1" ht="15.75" thickBot="1">
      <c r="A38" s="17" t="s">
        <v>556</v>
      </c>
      <c r="B38" s="41" t="s">
        <v>18</v>
      </c>
      <c r="C38" s="76">
        <v>121</v>
      </c>
      <c r="D38" s="76">
        <v>122</v>
      </c>
      <c r="E38" s="76">
        <v>122</v>
      </c>
      <c r="F38" s="76">
        <v>124</v>
      </c>
      <c r="G38" s="76">
        <v>124</v>
      </c>
      <c r="H38" s="76">
        <v>126</v>
      </c>
      <c r="I38" s="76">
        <v>127</v>
      </c>
      <c r="J38" s="76" t="s">
        <v>16</v>
      </c>
      <c r="K38" s="38"/>
      <c r="L38" s="38"/>
      <c r="M38" s="38"/>
    </row>
    <row r="39" spans="1:24" s="2" customFormat="1" ht="15.75" thickBot="1">
      <c r="A39" s="17" t="s">
        <v>557</v>
      </c>
      <c r="B39" s="41" t="s">
        <v>18</v>
      </c>
      <c r="C39" s="76">
        <v>108</v>
      </c>
      <c r="D39" s="76">
        <v>108</v>
      </c>
      <c r="E39" s="76">
        <v>108</v>
      </c>
      <c r="F39" s="76">
        <v>108</v>
      </c>
      <c r="G39" s="76">
        <v>108</v>
      </c>
      <c r="H39" s="76">
        <v>108</v>
      </c>
      <c r="I39" s="76" t="s">
        <v>16</v>
      </c>
      <c r="J39" s="38"/>
      <c r="K39" s="38"/>
      <c r="L39" s="38"/>
      <c r="M39" s="38"/>
    </row>
    <row r="40" spans="1:24" s="2" customFormat="1" ht="15.75" thickBot="1">
      <c r="A40" s="17" t="s">
        <v>558</v>
      </c>
      <c r="B40" s="41" t="s">
        <v>18</v>
      </c>
      <c r="C40" s="76">
        <v>98</v>
      </c>
      <c r="D40" s="76">
        <v>102</v>
      </c>
      <c r="E40" s="76">
        <v>105</v>
      </c>
      <c r="F40" s="76">
        <v>107</v>
      </c>
      <c r="G40" s="76">
        <v>107</v>
      </c>
      <c r="H40" s="76" t="s">
        <v>16</v>
      </c>
      <c r="I40" s="38"/>
      <c r="J40" s="38"/>
      <c r="K40" s="38"/>
      <c r="L40" s="38"/>
      <c r="M40" s="38"/>
    </row>
    <row r="41" spans="1:24" s="2" customFormat="1" ht="15.75" thickBot="1">
      <c r="A41" s="17" t="s">
        <v>591</v>
      </c>
      <c r="B41" s="25" t="s">
        <v>509</v>
      </c>
      <c r="C41" s="76">
        <v>95</v>
      </c>
      <c r="D41" s="76">
        <v>97</v>
      </c>
      <c r="E41" s="76">
        <v>97</v>
      </c>
      <c r="F41" s="76" t="s">
        <v>16</v>
      </c>
      <c r="I41" s="38"/>
      <c r="J41" s="38"/>
      <c r="K41" s="38"/>
      <c r="L41" s="38"/>
      <c r="M41" s="38"/>
    </row>
    <row r="42" spans="1:24" s="2" customFormat="1" ht="15.75" thickBot="1">
      <c r="A42" s="17" t="s">
        <v>592</v>
      </c>
      <c r="B42" s="25" t="s">
        <v>509</v>
      </c>
      <c r="C42" s="76">
        <v>78</v>
      </c>
      <c r="D42" s="76">
        <v>80</v>
      </c>
      <c r="E42" s="76" t="s">
        <v>16</v>
      </c>
      <c r="H42" s="38"/>
      <c r="I42" s="38"/>
      <c r="J42" s="38"/>
      <c r="K42" s="38"/>
      <c r="L42" s="38"/>
      <c r="M42" s="38"/>
    </row>
    <row r="43" spans="1:24" s="2" customFormat="1" ht="15.75" thickBot="1">
      <c r="A43" s="17" t="s">
        <v>559</v>
      </c>
      <c r="B43" s="41" t="s">
        <v>18</v>
      </c>
      <c r="C43" s="76">
        <v>62</v>
      </c>
      <c r="D43" s="76" t="s">
        <v>16</v>
      </c>
      <c r="H43" s="38"/>
      <c r="I43" s="38"/>
      <c r="J43" s="38"/>
      <c r="K43" s="38"/>
      <c r="L43" s="38"/>
      <c r="M43" s="38"/>
    </row>
    <row r="44" spans="1:24" s="2" customFormat="1" ht="14.25">
      <c r="C44" s="38"/>
      <c r="D44" s="38"/>
      <c r="E44" s="38"/>
      <c r="F44" s="38"/>
    </row>
    <row r="45" spans="1:24" s="2" customFormat="1" ht="14.25">
      <c r="A45" s="1" t="s">
        <v>561</v>
      </c>
    </row>
    <row r="46" spans="1:24" s="2" customFormat="1" ht="9" customHeight="1" thickBot="1">
      <c r="A46" s="1"/>
    </row>
    <row r="47" spans="1:24" s="2" customFormat="1" ht="15.75" thickBot="1">
      <c r="A47" s="3" t="s">
        <v>0</v>
      </c>
      <c r="B47" s="4" t="s">
        <v>1</v>
      </c>
      <c r="C47" s="4" t="s">
        <v>2</v>
      </c>
      <c r="D47" s="4">
        <v>2</v>
      </c>
      <c r="E47" s="4">
        <v>3</v>
      </c>
      <c r="F47" s="4">
        <v>4</v>
      </c>
      <c r="G47" s="4">
        <v>5</v>
      </c>
      <c r="H47" s="4">
        <v>6</v>
      </c>
      <c r="I47" s="4">
        <v>7</v>
      </c>
      <c r="J47" s="4">
        <v>8</v>
      </c>
      <c r="K47" s="4">
        <v>9</v>
      </c>
      <c r="L47" s="4">
        <v>10</v>
      </c>
      <c r="M47" s="4">
        <v>11</v>
      </c>
      <c r="N47" s="4">
        <v>12</v>
      </c>
      <c r="O47" s="4">
        <v>13</v>
      </c>
      <c r="P47" s="4">
        <v>14</v>
      </c>
      <c r="Q47" s="4">
        <v>15</v>
      </c>
      <c r="R47" s="4">
        <v>16</v>
      </c>
      <c r="S47" s="4">
        <v>17</v>
      </c>
      <c r="T47" s="4"/>
      <c r="U47" s="6" t="s">
        <v>289</v>
      </c>
      <c r="V47" s="39">
        <f>(5649/9437)</f>
        <v>0.598601250397372</v>
      </c>
    </row>
    <row r="48" spans="1:24" s="2" customFormat="1" ht="15.75" thickBot="1">
      <c r="A48" s="7" t="s">
        <v>582</v>
      </c>
      <c r="B48" s="100" t="s">
        <v>549</v>
      </c>
      <c r="C48" s="80">
        <v>396</v>
      </c>
      <c r="D48" s="76">
        <v>396</v>
      </c>
      <c r="E48" s="76">
        <v>396</v>
      </c>
      <c r="F48" s="76">
        <v>399</v>
      </c>
      <c r="G48" s="76">
        <v>399</v>
      </c>
      <c r="H48" s="76">
        <v>400</v>
      </c>
      <c r="I48" s="76">
        <v>400</v>
      </c>
      <c r="J48" s="76">
        <v>401</v>
      </c>
      <c r="K48" s="76">
        <v>409</v>
      </c>
      <c r="L48" s="76">
        <v>414</v>
      </c>
      <c r="M48" s="76">
        <v>415</v>
      </c>
      <c r="N48" s="76">
        <v>461</v>
      </c>
      <c r="O48" s="76">
        <v>463</v>
      </c>
      <c r="P48" s="76">
        <v>468</v>
      </c>
      <c r="Q48" s="76">
        <v>472</v>
      </c>
      <c r="R48" s="76">
        <v>473</v>
      </c>
      <c r="S48" s="9">
        <v>473</v>
      </c>
      <c r="T48" s="75" t="s">
        <v>15</v>
      </c>
      <c r="U48" s="5"/>
      <c r="V48" s="6" t="s">
        <v>5</v>
      </c>
      <c r="W48" s="6" t="s">
        <v>6</v>
      </c>
      <c r="X48" s="6" t="s">
        <v>7</v>
      </c>
    </row>
    <row r="49" spans="1:24" s="2" customFormat="1" ht="15.75" thickBot="1">
      <c r="A49" s="7" t="s">
        <v>532</v>
      </c>
      <c r="B49" s="105" t="s">
        <v>27</v>
      </c>
      <c r="C49" s="76">
        <v>394</v>
      </c>
      <c r="D49" s="76">
        <v>396</v>
      </c>
      <c r="E49" s="76">
        <v>411</v>
      </c>
      <c r="F49" s="76">
        <v>414</v>
      </c>
      <c r="G49" s="76">
        <v>419</v>
      </c>
      <c r="H49" s="76">
        <v>421</v>
      </c>
      <c r="I49" s="76">
        <v>448</v>
      </c>
      <c r="J49" s="76">
        <v>486</v>
      </c>
      <c r="K49" s="76">
        <v>502</v>
      </c>
      <c r="L49" s="76">
        <v>512</v>
      </c>
      <c r="M49" s="76">
        <v>531</v>
      </c>
      <c r="N49" s="76">
        <v>532</v>
      </c>
      <c r="O49" s="76">
        <v>536</v>
      </c>
      <c r="P49" s="9">
        <v>577</v>
      </c>
      <c r="Q49" s="76"/>
      <c r="R49" s="76"/>
      <c r="S49" s="76"/>
      <c r="T49" s="75" t="s">
        <v>4</v>
      </c>
      <c r="U49" s="13" t="s">
        <v>545</v>
      </c>
      <c r="V49" s="14">
        <f>(C57+C62+C64+C67)</f>
        <v>751</v>
      </c>
      <c r="W49" s="15">
        <f>SUM(V49/V54)</f>
        <v>0.1398510242085661</v>
      </c>
      <c r="X49" s="5">
        <v>1</v>
      </c>
    </row>
    <row r="50" spans="1:24" s="2" customFormat="1" ht="15.75" thickBot="1">
      <c r="A50" s="7" t="s">
        <v>528</v>
      </c>
      <c r="B50" s="100" t="s">
        <v>549</v>
      </c>
      <c r="C50" s="76">
        <v>376</v>
      </c>
      <c r="D50" s="76">
        <v>376</v>
      </c>
      <c r="E50" s="76">
        <v>376</v>
      </c>
      <c r="F50" s="76">
        <v>376</v>
      </c>
      <c r="G50" s="76">
        <v>378</v>
      </c>
      <c r="H50" s="76">
        <v>380</v>
      </c>
      <c r="I50" s="76">
        <v>381</v>
      </c>
      <c r="J50" s="76">
        <v>382</v>
      </c>
      <c r="K50" s="76">
        <v>499</v>
      </c>
      <c r="L50" s="76">
        <v>499</v>
      </c>
      <c r="M50" s="76">
        <v>500</v>
      </c>
      <c r="N50" s="76">
        <v>526</v>
      </c>
      <c r="O50" s="76">
        <v>529</v>
      </c>
      <c r="P50" s="76">
        <v>533</v>
      </c>
      <c r="Q50" s="76">
        <v>535</v>
      </c>
      <c r="R50" s="76">
        <v>535</v>
      </c>
      <c r="S50" s="9">
        <v>535</v>
      </c>
      <c r="T50" s="75" t="s">
        <v>12</v>
      </c>
      <c r="U50" s="16" t="s">
        <v>509</v>
      </c>
      <c r="V50" s="14">
        <f>(C51+C52+C54+C55+C56+C59+C61+C66+C68)</f>
        <v>2180</v>
      </c>
      <c r="W50" s="15">
        <f>SUM(V50/V54)</f>
        <v>0.4059590316573557</v>
      </c>
      <c r="X50" s="5">
        <v>3</v>
      </c>
    </row>
    <row r="51" spans="1:24" s="2" customFormat="1" ht="15.75" thickBot="1">
      <c r="A51" s="7" t="s">
        <v>530</v>
      </c>
      <c r="B51" s="20" t="s">
        <v>509</v>
      </c>
      <c r="C51" s="76">
        <v>366</v>
      </c>
      <c r="D51" s="76">
        <v>368</v>
      </c>
      <c r="E51" s="76">
        <v>372</v>
      </c>
      <c r="F51" s="76">
        <v>374</v>
      </c>
      <c r="G51" s="76">
        <v>379</v>
      </c>
      <c r="H51" s="76">
        <v>388</v>
      </c>
      <c r="I51" s="76">
        <v>418</v>
      </c>
      <c r="J51" s="76">
        <v>421</v>
      </c>
      <c r="K51" s="76">
        <v>421</v>
      </c>
      <c r="L51" s="76">
        <v>427</v>
      </c>
      <c r="M51" s="76">
        <v>429</v>
      </c>
      <c r="N51" s="76">
        <v>431</v>
      </c>
      <c r="O51" s="76">
        <v>441</v>
      </c>
      <c r="P51" s="76">
        <v>484</v>
      </c>
      <c r="Q51" s="9">
        <v>556</v>
      </c>
      <c r="R51" s="76"/>
      <c r="S51" s="76"/>
      <c r="T51" s="75" t="s">
        <v>9</v>
      </c>
      <c r="U51" s="93" t="s">
        <v>367</v>
      </c>
      <c r="V51" s="38">
        <f>(C58+C65+C72)</f>
        <v>419</v>
      </c>
      <c r="W51" s="39">
        <f>SUM(V51/V54)</f>
        <v>7.8026070763500932E-2</v>
      </c>
      <c r="X51" s="2">
        <v>1</v>
      </c>
    </row>
    <row r="52" spans="1:24" s="2" customFormat="1" ht="15.75" thickBot="1">
      <c r="A52" s="7" t="s">
        <v>529</v>
      </c>
      <c r="B52" s="20" t="s">
        <v>509</v>
      </c>
      <c r="C52" s="76">
        <v>331</v>
      </c>
      <c r="D52" s="76">
        <v>332</v>
      </c>
      <c r="E52" s="76">
        <v>332</v>
      </c>
      <c r="F52" s="76">
        <v>332</v>
      </c>
      <c r="G52" s="76">
        <v>333</v>
      </c>
      <c r="H52" s="76">
        <v>334</v>
      </c>
      <c r="I52" s="76">
        <v>334</v>
      </c>
      <c r="J52" s="76">
        <v>334</v>
      </c>
      <c r="K52" s="76">
        <v>335</v>
      </c>
      <c r="L52" s="76">
        <v>387</v>
      </c>
      <c r="M52" s="76">
        <v>388</v>
      </c>
      <c r="N52" s="76">
        <v>428</v>
      </c>
      <c r="O52" s="76">
        <v>429</v>
      </c>
      <c r="P52" s="76">
        <v>430</v>
      </c>
      <c r="Q52" s="76">
        <v>438</v>
      </c>
      <c r="R52" s="76">
        <v>439</v>
      </c>
      <c r="S52" s="9">
        <v>442</v>
      </c>
      <c r="T52" s="11" t="s">
        <v>57</v>
      </c>
      <c r="U52" s="102" t="s">
        <v>548</v>
      </c>
      <c r="V52" s="38">
        <f>(C48+C50+C63)</f>
        <v>946</v>
      </c>
      <c r="W52" s="39">
        <f>SUM(V52/V54)</f>
        <v>0.17616387337057729</v>
      </c>
      <c r="X52" s="2">
        <v>2</v>
      </c>
    </row>
    <row r="53" spans="1:24" s="2" customFormat="1" ht="15.75" thickBot="1">
      <c r="A53" s="7" t="s">
        <v>538</v>
      </c>
      <c r="B53" s="42" t="s">
        <v>18</v>
      </c>
      <c r="C53" s="76">
        <v>314</v>
      </c>
      <c r="D53" s="76">
        <v>316</v>
      </c>
      <c r="E53" s="76">
        <v>322</v>
      </c>
      <c r="F53" s="76">
        <v>325</v>
      </c>
      <c r="G53" s="76">
        <v>337</v>
      </c>
      <c r="H53" s="76">
        <v>342</v>
      </c>
      <c r="I53" s="76">
        <v>346</v>
      </c>
      <c r="J53" s="76">
        <v>351</v>
      </c>
      <c r="K53" s="76">
        <v>355</v>
      </c>
      <c r="L53" s="76">
        <v>380</v>
      </c>
      <c r="M53" s="76">
        <v>382</v>
      </c>
      <c r="N53" s="76">
        <v>430</v>
      </c>
      <c r="O53" s="76">
        <v>437</v>
      </c>
      <c r="P53" s="76">
        <v>447</v>
      </c>
      <c r="Q53" s="76">
        <v>506</v>
      </c>
      <c r="R53" s="76">
        <v>513</v>
      </c>
      <c r="S53" s="9">
        <v>520</v>
      </c>
      <c r="T53" s="11" t="s">
        <v>10</v>
      </c>
      <c r="U53" s="6" t="s">
        <v>17</v>
      </c>
      <c r="V53" s="38">
        <f>(C49+C53+C60+C69+C70+C71)</f>
        <v>1074</v>
      </c>
      <c r="W53" s="39">
        <f>SUM(V53/V54)</f>
        <v>0.2</v>
      </c>
      <c r="X53" s="2">
        <v>2</v>
      </c>
    </row>
    <row r="54" spans="1:24" s="2" customFormat="1" ht="15.75" thickBot="1">
      <c r="A54" s="7" t="s">
        <v>600</v>
      </c>
      <c r="B54" s="20" t="s">
        <v>509</v>
      </c>
      <c r="C54" s="76">
        <v>305</v>
      </c>
      <c r="D54" s="76">
        <v>305</v>
      </c>
      <c r="E54" s="76">
        <v>305</v>
      </c>
      <c r="F54" s="76">
        <v>329</v>
      </c>
      <c r="G54" s="76">
        <v>329</v>
      </c>
      <c r="H54" s="76">
        <v>347</v>
      </c>
      <c r="I54" s="76">
        <v>376</v>
      </c>
      <c r="J54" s="76">
        <v>376</v>
      </c>
      <c r="K54" s="76">
        <v>379</v>
      </c>
      <c r="L54" s="76">
        <v>381</v>
      </c>
      <c r="M54" s="76">
        <v>396</v>
      </c>
      <c r="N54" s="76">
        <v>396</v>
      </c>
      <c r="O54" s="76">
        <v>398</v>
      </c>
      <c r="P54" s="76">
        <v>448</v>
      </c>
      <c r="Q54" s="76">
        <v>455</v>
      </c>
      <c r="R54" s="76">
        <v>461</v>
      </c>
      <c r="S54" s="9">
        <v>465</v>
      </c>
      <c r="T54" s="11" t="s">
        <v>14</v>
      </c>
      <c r="V54" s="22">
        <v>5370</v>
      </c>
    </row>
    <row r="55" spans="1:24" s="2" customFormat="1" ht="15.75" thickBot="1">
      <c r="A55" s="17" t="s">
        <v>601</v>
      </c>
      <c r="B55" s="25" t="s">
        <v>509</v>
      </c>
      <c r="C55" s="80">
        <v>272</v>
      </c>
      <c r="D55" s="76">
        <v>273</v>
      </c>
      <c r="E55" s="76">
        <v>285</v>
      </c>
      <c r="F55" s="76">
        <v>286</v>
      </c>
      <c r="G55" s="76">
        <v>289</v>
      </c>
      <c r="H55" s="76">
        <v>290</v>
      </c>
      <c r="I55" s="76">
        <v>292</v>
      </c>
      <c r="J55" s="76">
        <v>293</v>
      </c>
      <c r="K55" s="76">
        <v>293</v>
      </c>
      <c r="L55" s="76">
        <v>296</v>
      </c>
      <c r="M55" s="76">
        <v>300</v>
      </c>
      <c r="N55" s="76">
        <v>304</v>
      </c>
      <c r="O55" s="76">
        <v>311</v>
      </c>
      <c r="P55" s="76">
        <v>324</v>
      </c>
      <c r="Q55" s="76" t="s">
        <v>16</v>
      </c>
    </row>
    <row r="56" spans="1:24" s="2" customFormat="1" ht="15.75" thickBot="1">
      <c r="A56" s="17" t="s">
        <v>471</v>
      </c>
      <c r="B56" s="25" t="s">
        <v>509</v>
      </c>
      <c r="C56" s="76">
        <v>256</v>
      </c>
      <c r="D56" s="76">
        <v>257</v>
      </c>
      <c r="E56" s="76">
        <v>261</v>
      </c>
      <c r="F56" s="76">
        <v>263</v>
      </c>
      <c r="G56" s="76">
        <v>298</v>
      </c>
      <c r="H56" s="76">
        <v>298</v>
      </c>
      <c r="I56" s="76">
        <v>305</v>
      </c>
      <c r="J56" s="76">
        <v>311</v>
      </c>
      <c r="K56" s="76">
        <v>314</v>
      </c>
      <c r="L56" s="76">
        <v>357</v>
      </c>
      <c r="M56" s="76">
        <v>364</v>
      </c>
      <c r="N56" s="76">
        <v>371</v>
      </c>
      <c r="O56" s="76">
        <v>379</v>
      </c>
      <c r="P56" s="76">
        <v>392</v>
      </c>
      <c r="Q56" s="76">
        <v>408</v>
      </c>
      <c r="R56" s="76">
        <v>408</v>
      </c>
      <c r="S56" s="76">
        <v>412</v>
      </c>
      <c r="T56" s="11"/>
    </row>
    <row r="57" spans="1:24" s="2" customFormat="1" ht="15.75" thickBot="1">
      <c r="A57" s="7" t="s">
        <v>608</v>
      </c>
      <c r="B57" s="8" t="s">
        <v>545</v>
      </c>
      <c r="C57" s="76">
        <v>252</v>
      </c>
      <c r="D57" s="76">
        <v>252</v>
      </c>
      <c r="E57" s="76">
        <v>252</v>
      </c>
      <c r="F57" s="76">
        <v>252</v>
      </c>
      <c r="G57" s="76">
        <v>254</v>
      </c>
      <c r="H57" s="76">
        <v>267</v>
      </c>
      <c r="I57" s="76">
        <v>268</v>
      </c>
      <c r="J57" s="76">
        <v>273</v>
      </c>
      <c r="K57" s="76">
        <v>273</v>
      </c>
      <c r="L57" s="76">
        <v>273</v>
      </c>
      <c r="M57" s="76">
        <v>282</v>
      </c>
      <c r="N57" s="76">
        <v>291</v>
      </c>
      <c r="O57" s="76">
        <v>429</v>
      </c>
      <c r="P57" s="76">
        <v>433</v>
      </c>
      <c r="Q57" s="76">
        <v>441</v>
      </c>
      <c r="R57" s="76">
        <v>441</v>
      </c>
      <c r="S57" s="9">
        <v>441</v>
      </c>
      <c r="T57" s="11" t="s">
        <v>452</v>
      </c>
    </row>
    <row r="58" spans="1:24" s="2" customFormat="1" ht="15.75" thickBot="1">
      <c r="A58" s="7" t="s">
        <v>103</v>
      </c>
      <c r="B58" s="98" t="s">
        <v>367</v>
      </c>
      <c r="C58" s="80">
        <v>247</v>
      </c>
      <c r="D58" s="76">
        <v>252</v>
      </c>
      <c r="E58" s="76">
        <v>254</v>
      </c>
      <c r="F58" s="76">
        <v>254</v>
      </c>
      <c r="G58" s="76">
        <v>257</v>
      </c>
      <c r="H58" s="76">
        <v>273</v>
      </c>
      <c r="I58" s="76">
        <v>283</v>
      </c>
      <c r="J58" s="76">
        <v>357</v>
      </c>
      <c r="K58" s="76">
        <v>358</v>
      </c>
      <c r="L58" s="76">
        <v>361</v>
      </c>
      <c r="M58" s="76">
        <v>371</v>
      </c>
      <c r="N58" s="76">
        <v>371</v>
      </c>
      <c r="O58" s="76">
        <v>388</v>
      </c>
      <c r="P58" s="76">
        <v>410</v>
      </c>
      <c r="Q58" s="76">
        <v>417</v>
      </c>
      <c r="R58" s="76">
        <v>419</v>
      </c>
      <c r="S58" s="9">
        <v>419</v>
      </c>
      <c r="T58" s="11" t="s">
        <v>462</v>
      </c>
    </row>
    <row r="59" spans="1:24" s="2" customFormat="1" ht="15.75" thickBot="1">
      <c r="A59" s="17" t="s">
        <v>596</v>
      </c>
      <c r="B59" s="25" t="s">
        <v>509</v>
      </c>
      <c r="C59" s="76">
        <v>231</v>
      </c>
      <c r="D59" s="76">
        <v>235</v>
      </c>
      <c r="E59" s="76">
        <v>236</v>
      </c>
      <c r="F59" s="76">
        <v>237</v>
      </c>
      <c r="G59" s="76">
        <v>237</v>
      </c>
      <c r="H59" s="76">
        <v>243</v>
      </c>
      <c r="I59" s="76">
        <v>253</v>
      </c>
      <c r="J59" s="76">
        <v>254</v>
      </c>
      <c r="K59" s="76">
        <v>255</v>
      </c>
      <c r="L59" s="76">
        <v>256</v>
      </c>
      <c r="M59" s="76">
        <v>305</v>
      </c>
      <c r="N59" s="76">
        <v>305</v>
      </c>
      <c r="O59" s="76">
        <v>306</v>
      </c>
      <c r="P59" s="76" t="s">
        <v>16</v>
      </c>
    </row>
    <row r="60" spans="1:24" s="2" customFormat="1" ht="15.75" thickBot="1">
      <c r="A60" s="17" t="s">
        <v>562</v>
      </c>
      <c r="B60" s="106" t="s">
        <v>18</v>
      </c>
      <c r="C60" s="76">
        <v>211</v>
      </c>
      <c r="D60" s="76">
        <v>212</v>
      </c>
      <c r="E60" s="76">
        <v>213</v>
      </c>
      <c r="F60" s="76">
        <v>213</v>
      </c>
      <c r="G60" s="76">
        <v>214</v>
      </c>
      <c r="H60" s="76">
        <v>215</v>
      </c>
      <c r="I60" s="76">
        <v>215</v>
      </c>
      <c r="J60" s="76">
        <v>215</v>
      </c>
      <c r="K60" s="76">
        <v>216</v>
      </c>
      <c r="L60" s="76">
        <v>217</v>
      </c>
      <c r="M60" s="76">
        <v>217</v>
      </c>
      <c r="N60" s="76" t="s">
        <v>16</v>
      </c>
    </row>
    <row r="61" spans="1:24" s="2" customFormat="1" ht="15.75" thickBot="1">
      <c r="A61" s="17" t="s">
        <v>597</v>
      </c>
      <c r="B61" s="25" t="s">
        <v>509</v>
      </c>
      <c r="C61" s="76">
        <v>187</v>
      </c>
      <c r="D61" s="76">
        <v>188</v>
      </c>
      <c r="E61" s="76">
        <v>188</v>
      </c>
      <c r="F61" s="76">
        <v>188</v>
      </c>
      <c r="G61" s="76">
        <v>189</v>
      </c>
      <c r="H61" s="76">
        <v>189</v>
      </c>
      <c r="I61" s="76">
        <v>189</v>
      </c>
      <c r="J61" s="76">
        <v>193</v>
      </c>
      <c r="K61" s="76">
        <v>193</v>
      </c>
      <c r="L61" s="76" t="s">
        <v>16</v>
      </c>
    </row>
    <row r="62" spans="1:24" s="2" customFormat="1" ht="15.75" thickBot="1">
      <c r="A62" s="17" t="s">
        <v>533</v>
      </c>
      <c r="B62" s="23" t="s">
        <v>545</v>
      </c>
      <c r="C62" s="76">
        <v>184</v>
      </c>
      <c r="D62" s="76">
        <v>185</v>
      </c>
      <c r="E62" s="76">
        <v>187</v>
      </c>
      <c r="F62" s="76">
        <v>187</v>
      </c>
      <c r="G62" s="76">
        <v>188</v>
      </c>
      <c r="H62" s="76">
        <v>211</v>
      </c>
      <c r="I62" s="76">
        <v>214</v>
      </c>
      <c r="J62" s="76">
        <v>215</v>
      </c>
      <c r="K62" s="76">
        <v>215</v>
      </c>
      <c r="L62" s="76">
        <v>215</v>
      </c>
      <c r="M62" s="76">
        <v>236</v>
      </c>
      <c r="N62" s="76">
        <v>236</v>
      </c>
      <c r="O62" s="76" t="s">
        <v>16</v>
      </c>
    </row>
    <row r="63" spans="1:24" s="2" customFormat="1" ht="15.75" thickBot="1">
      <c r="A63" s="17" t="s">
        <v>581</v>
      </c>
      <c r="B63" s="101" t="s">
        <v>549</v>
      </c>
      <c r="C63" s="76">
        <v>174</v>
      </c>
      <c r="D63" s="76">
        <v>174</v>
      </c>
      <c r="E63" s="76">
        <v>174</v>
      </c>
      <c r="F63" s="76">
        <v>175</v>
      </c>
      <c r="G63" s="76">
        <v>175</v>
      </c>
      <c r="H63" s="76">
        <v>176</v>
      </c>
      <c r="I63" s="76">
        <v>180</v>
      </c>
      <c r="J63" s="76">
        <v>180</v>
      </c>
      <c r="K63" s="76" t="s">
        <v>16</v>
      </c>
      <c r="N63" s="38"/>
      <c r="O63" s="39"/>
    </row>
    <row r="64" spans="1:24" s="2" customFormat="1" ht="15.75" thickBot="1">
      <c r="A64" s="17" t="s">
        <v>606</v>
      </c>
      <c r="B64" s="23" t="s">
        <v>545</v>
      </c>
      <c r="C64" s="76">
        <v>173</v>
      </c>
      <c r="D64" s="76">
        <v>173</v>
      </c>
      <c r="E64" s="76">
        <v>174</v>
      </c>
      <c r="F64" s="76">
        <v>177</v>
      </c>
      <c r="G64" s="76">
        <v>178</v>
      </c>
      <c r="H64" s="76">
        <v>196</v>
      </c>
      <c r="I64" s="76">
        <v>205</v>
      </c>
      <c r="J64" s="76">
        <v>205</v>
      </c>
      <c r="K64" s="76">
        <v>206</v>
      </c>
      <c r="L64" s="76">
        <v>207</v>
      </c>
      <c r="M64" s="76" t="s">
        <v>16</v>
      </c>
      <c r="N64" s="22"/>
    </row>
    <row r="65" spans="1:24" s="2" customFormat="1" ht="15.75" thickBot="1">
      <c r="A65" s="17" t="s">
        <v>585</v>
      </c>
      <c r="B65" s="99" t="s">
        <v>367</v>
      </c>
      <c r="C65" s="80">
        <v>157</v>
      </c>
      <c r="D65" s="76">
        <v>165</v>
      </c>
      <c r="E65" s="76">
        <v>165</v>
      </c>
      <c r="F65" s="76">
        <v>165</v>
      </c>
      <c r="G65" s="76">
        <v>166</v>
      </c>
      <c r="H65" s="76">
        <v>167</v>
      </c>
      <c r="I65" s="76">
        <v>168</v>
      </c>
      <c r="J65" s="76" t="s">
        <v>16</v>
      </c>
    </row>
    <row r="66" spans="1:24" s="2" customFormat="1" ht="15.75" thickBot="1">
      <c r="A66" s="17" t="s">
        <v>598</v>
      </c>
      <c r="B66" s="25" t="s">
        <v>509</v>
      </c>
      <c r="C66" s="80">
        <v>149</v>
      </c>
      <c r="D66" s="76">
        <v>149</v>
      </c>
      <c r="E66" s="76">
        <v>149</v>
      </c>
      <c r="F66" s="76">
        <v>154</v>
      </c>
      <c r="G66" s="76">
        <v>155</v>
      </c>
      <c r="H66" s="76">
        <v>159</v>
      </c>
      <c r="I66" s="76" t="s">
        <v>16</v>
      </c>
    </row>
    <row r="67" spans="1:24" s="2" customFormat="1" ht="15.75" thickBot="1">
      <c r="A67" s="17" t="s">
        <v>607</v>
      </c>
      <c r="B67" s="23" t="s">
        <v>545</v>
      </c>
      <c r="C67" s="76">
        <v>142</v>
      </c>
      <c r="D67" s="76">
        <v>142</v>
      </c>
      <c r="E67" s="76">
        <v>143</v>
      </c>
      <c r="F67" s="76">
        <v>152</v>
      </c>
      <c r="G67" s="76">
        <v>152</v>
      </c>
      <c r="H67" s="76" t="s">
        <v>16</v>
      </c>
    </row>
    <row r="68" spans="1:24" s="2" customFormat="1" ht="15.75" thickBot="1">
      <c r="A68" s="17" t="s">
        <v>599</v>
      </c>
      <c r="B68" s="25" t="s">
        <v>509</v>
      </c>
      <c r="C68" s="76">
        <v>83</v>
      </c>
      <c r="D68" s="76">
        <v>83</v>
      </c>
      <c r="E68" s="76">
        <v>83</v>
      </c>
      <c r="F68" s="76">
        <v>83</v>
      </c>
      <c r="G68" s="76" t="s">
        <v>16</v>
      </c>
    </row>
    <row r="69" spans="1:24" s="2" customFormat="1" ht="15.75" thickBot="1">
      <c r="A69" s="17" t="s">
        <v>537</v>
      </c>
      <c r="B69" s="41" t="s">
        <v>18</v>
      </c>
      <c r="C69" s="76">
        <v>78</v>
      </c>
      <c r="D69" s="76">
        <v>79</v>
      </c>
      <c r="E69" s="76">
        <v>79</v>
      </c>
      <c r="F69" s="76" t="s">
        <v>16</v>
      </c>
    </row>
    <row r="70" spans="1:24" s="2" customFormat="1" ht="15.75" thickBot="1">
      <c r="A70" s="17" t="s">
        <v>563</v>
      </c>
      <c r="B70" s="106" t="s">
        <v>18</v>
      </c>
      <c r="C70" s="76">
        <v>56</v>
      </c>
      <c r="D70" s="76">
        <v>56</v>
      </c>
      <c r="E70" s="76" t="s">
        <v>16</v>
      </c>
      <c r="M70" s="43"/>
    </row>
    <row r="71" spans="1:24" s="2" customFormat="1" ht="15.75" thickBot="1">
      <c r="A71" s="17" t="s">
        <v>564</v>
      </c>
      <c r="B71" s="106" t="s">
        <v>18</v>
      </c>
      <c r="C71" s="76">
        <v>21</v>
      </c>
      <c r="D71" s="76" t="s">
        <v>16</v>
      </c>
    </row>
    <row r="72" spans="1:24" s="2" customFormat="1" ht="15.75" thickBot="1">
      <c r="A72" s="17" t="s">
        <v>31</v>
      </c>
      <c r="B72" s="99" t="s">
        <v>367</v>
      </c>
      <c r="C72" s="76">
        <v>15</v>
      </c>
      <c r="D72" s="76" t="s">
        <v>16</v>
      </c>
    </row>
    <row r="73" spans="1:24" s="2" customFormat="1" ht="14.25">
      <c r="C73" s="38"/>
    </row>
    <row r="74" spans="1:24" s="2" customFormat="1" ht="14.25">
      <c r="A74" s="1" t="s">
        <v>574</v>
      </c>
    </row>
    <row r="75" spans="1:24" s="2" customFormat="1" ht="9.75" customHeight="1" thickBot="1">
      <c r="A75" s="1"/>
    </row>
    <row r="76" spans="1:24" s="2" customFormat="1" ht="15.75" thickBot="1">
      <c r="A76" s="3" t="s">
        <v>0</v>
      </c>
      <c r="B76" s="4" t="s">
        <v>1</v>
      </c>
      <c r="C76" s="4" t="s">
        <v>2</v>
      </c>
      <c r="D76" s="4">
        <v>2</v>
      </c>
      <c r="E76" s="4">
        <v>3</v>
      </c>
      <c r="F76" s="4">
        <v>4</v>
      </c>
      <c r="G76" s="4">
        <v>5</v>
      </c>
      <c r="H76" s="4">
        <v>6</v>
      </c>
      <c r="I76" s="4">
        <v>7</v>
      </c>
      <c r="J76" s="4">
        <v>8</v>
      </c>
      <c r="K76" s="4">
        <v>9</v>
      </c>
      <c r="L76" s="4">
        <v>10</v>
      </c>
      <c r="M76" s="4">
        <v>11</v>
      </c>
      <c r="N76" s="4">
        <v>12</v>
      </c>
      <c r="O76" s="4">
        <v>13</v>
      </c>
      <c r="P76" s="4">
        <v>14</v>
      </c>
      <c r="Q76" s="4">
        <v>15</v>
      </c>
      <c r="R76" s="4">
        <v>16</v>
      </c>
      <c r="S76" s="4">
        <v>17</v>
      </c>
      <c r="T76" s="4"/>
      <c r="U76" s="6" t="s">
        <v>289</v>
      </c>
      <c r="V76" s="39">
        <f>(3942/8110)</f>
        <v>0.48606658446362516</v>
      </c>
    </row>
    <row r="77" spans="1:24" s="2" customFormat="1" ht="15.75" thickBot="1">
      <c r="A77" s="7" t="s">
        <v>568</v>
      </c>
      <c r="B77" s="42" t="s">
        <v>18</v>
      </c>
      <c r="C77" s="76">
        <v>390</v>
      </c>
      <c r="D77" s="76">
        <v>390</v>
      </c>
      <c r="E77" s="76">
        <v>391</v>
      </c>
      <c r="F77" s="76">
        <v>400</v>
      </c>
      <c r="G77" s="9">
        <v>416</v>
      </c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11" t="s">
        <v>4</v>
      </c>
      <c r="U77" s="5"/>
      <c r="V77" s="6" t="s">
        <v>5</v>
      </c>
      <c r="W77" s="6" t="s">
        <v>6</v>
      </c>
      <c r="X77" s="6" t="s">
        <v>7</v>
      </c>
    </row>
    <row r="78" spans="1:24" s="2" customFormat="1" ht="15.75" thickBot="1">
      <c r="A78" s="7" t="s">
        <v>498</v>
      </c>
      <c r="B78" s="42" t="s">
        <v>565</v>
      </c>
      <c r="C78" s="76">
        <v>350</v>
      </c>
      <c r="D78" s="76">
        <v>353</v>
      </c>
      <c r="E78" s="76">
        <v>360</v>
      </c>
      <c r="F78" s="76">
        <v>360</v>
      </c>
      <c r="G78" s="76">
        <v>362</v>
      </c>
      <c r="H78" s="76">
        <v>362</v>
      </c>
      <c r="I78" s="76">
        <v>362</v>
      </c>
      <c r="J78" s="76">
        <v>369</v>
      </c>
      <c r="K78" s="76">
        <v>370</v>
      </c>
      <c r="L78" s="76">
        <v>373</v>
      </c>
      <c r="M78" s="76">
        <v>375</v>
      </c>
      <c r="N78" s="9">
        <v>422</v>
      </c>
      <c r="O78" s="76"/>
      <c r="P78" s="76"/>
      <c r="Q78" s="76"/>
      <c r="R78" s="76"/>
      <c r="S78" s="76"/>
      <c r="T78" s="11" t="s">
        <v>12</v>
      </c>
      <c r="U78" s="13" t="s">
        <v>545</v>
      </c>
      <c r="V78" s="14">
        <f>(C85+C90+C91)</f>
        <v>381</v>
      </c>
      <c r="W78" s="15">
        <f>SUM(V78/V83)</f>
        <v>0.10375816993464053</v>
      </c>
      <c r="X78" s="5">
        <v>1</v>
      </c>
    </row>
    <row r="79" spans="1:24" s="2" customFormat="1" ht="15.75" thickBot="1">
      <c r="A79" s="7" t="s">
        <v>476</v>
      </c>
      <c r="B79" s="20" t="s">
        <v>509</v>
      </c>
      <c r="C79" s="76">
        <v>306</v>
      </c>
      <c r="D79" s="76">
        <v>307</v>
      </c>
      <c r="E79" s="76">
        <v>308</v>
      </c>
      <c r="F79" s="76">
        <v>308</v>
      </c>
      <c r="G79" s="76">
        <v>309</v>
      </c>
      <c r="H79" s="76">
        <v>340</v>
      </c>
      <c r="I79" s="76">
        <v>341</v>
      </c>
      <c r="J79" s="76">
        <v>341</v>
      </c>
      <c r="K79" s="76">
        <v>341</v>
      </c>
      <c r="L79" s="76">
        <v>348</v>
      </c>
      <c r="M79" s="9">
        <v>413</v>
      </c>
      <c r="N79" s="76"/>
      <c r="O79" s="76"/>
      <c r="P79" s="76"/>
      <c r="Q79" s="76"/>
      <c r="R79" s="76"/>
      <c r="S79" s="76"/>
      <c r="T79" s="11" t="s">
        <v>9</v>
      </c>
      <c r="U79" s="16" t="s">
        <v>509</v>
      </c>
      <c r="V79" s="14">
        <f>(C79+C84+C92+C94+C95+C96+C97)</f>
        <v>856</v>
      </c>
      <c r="W79" s="15">
        <f>SUM(V79/V83)</f>
        <v>0.23311546840958605</v>
      </c>
      <c r="X79" s="5">
        <v>2</v>
      </c>
    </row>
    <row r="80" spans="1:24" s="2" customFormat="1" ht="15.75" thickBot="1">
      <c r="A80" s="7" t="s">
        <v>520</v>
      </c>
      <c r="B80" s="42" t="s">
        <v>565</v>
      </c>
      <c r="C80" s="76">
        <v>274</v>
      </c>
      <c r="D80" s="76">
        <v>274</v>
      </c>
      <c r="E80" s="76">
        <v>274</v>
      </c>
      <c r="F80" s="76">
        <v>274</v>
      </c>
      <c r="G80" s="76">
        <v>274</v>
      </c>
      <c r="H80" s="76">
        <v>274</v>
      </c>
      <c r="I80" s="76">
        <v>275</v>
      </c>
      <c r="J80" s="76">
        <v>275</v>
      </c>
      <c r="K80" s="76">
        <v>275</v>
      </c>
      <c r="L80" s="76">
        <v>281</v>
      </c>
      <c r="M80" s="76">
        <v>286</v>
      </c>
      <c r="N80" s="76">
        <v>288</v>
      </c>
      <c r="O80" s="76">
        <v>289</v>
      </c>
      <c r="P80" s="76"/>
      <c r="Q80" s="76">
        <v>309</v>
      </c>
      <c r="R80" s="76">
        <v>339</v>
      </c>
      <c r="S80" s="9">
        <v>343</v>
      </c>
      <c r="T80" s="11" t="s">
        <v>15</v>
      </c>
      <c r="U80" s="93" t="s">
        <v>367</v>
      </c>
      <c r="V80" s="38">
        <f>(C82+C83+C87+C88)</f>
        <v>730</v>
      </c>
      <c r="W80" s="39">
        <f>SUM(V80/V83)</f>
        <v>0.19880174291938998</v>
      </c>
      <c r="X80" s="2">
        <v>1</v>
      </c>
    </row>
    <row r="81" spans="1:24" s="2" customFormat="1" ht="15.75" thickBot="1">
      <c r="A81" s="7" t="s">
        <v>579</v>
      </c>
      <c r="B81" s="100" t="s">
        <v>549</v>
      </c>
      <c r="C81" s="76">
        <v>249</v>
      </c>
      <c r="D81" s="76">
        <v>249</v>
      </c>
      <c r="E81" s="76">
        <v>249</v>
      </c>
      <c r="F81" s="76">
        <v>250</v>
      </c>
      <c r="G81" s="76">
        <v>251</v>
      </c>
      <c r="H81" s="76">
        <v>252</v>
      </c>
      <c r="I81" s="76">
        <v>269</v>
      </c>
      <c r="J81" s="76">
        <v>270</v>
      </c>
      <c r="K81" s="76">
        <v>270</v>
      </c>
      <c r="L81" s="76">
        <v>274</v>
      </c>
      <c r="M81" s="76">
        <v>276</v>
      </c>
      <c r="N81" s="76">
        <v>277</v>
      </c>
      <c r="O81" s="76">
        <v>277</v>
      </c>
      <c r="P81" s="76"/>
      <c r="Q81" s="76">
        <v>284</v>
      </c>
      <c r="R81" s="76">
        <v>288</v>
      </c>
      <c r="S81" s="9">
        <v>343</v>
      </c>
      <c r="T81" s="11" t="s">
        <v>14</v>
      </c>
      <c r="U81" s="102" t="s">
        <v>548</v>
      </c>
      <c r="V81" s="38">
        <v>249</v>
      </c>
      <c r="W81" s="39">
        <f>SUM(V81/V83)</f>
        <v>6.7810457516339864E-2</v>
      </c>
      <c r="X81" s="2">
        <v>1</v>
      </c>
    </row>
    <row r="82" spans="1:24" s="2" customFormat="1" ht="15.75" thickBot="1">
      <c r="A82" s="7" t="s">
        <v>520</v>
      </c>
      <c r="B82" s="98" t="s">
        <v>367</v>
      </c>
      <c r="C82" s="76">
        <v>240</v>
      </c>
      <c r="D82" s="76">
        <v>241</v>
      </c>
      <c r="E82" s="76">
        <v>242</v>
      </c>
      <c r="F82" s="76">
        <v>243</v>
      </c>
      <c r="G82" s="76">
        <v>247</v>
      </c>
      <c r="H82" s="76">
        <v>247</v>
      </c>
      <c r="I82" s="76">
        <v>253</v>
      </c>
      <c r="J82" s="76">
        <v>263</v>
      </c>
      <c r="K82" s="76">
        <v>263</v>
      </c>
      <c r="L82" s="76">
        <v>263</v>
      </c>
      <c r="M82" s="76">
        <v>264</v>
      </c>
      <c r="N82" s="76">
        <v>268</v>
      </c>
      <c r="O82" s="76">
        <v>270</v>
      </c>
      <c r="P82" s="76"/>
      <c r="Q82" s="76">
        <v>306</v>
      </c>
      <c r="R82" s="76">
        <v>309</v>
      </c>
      <c r="S82" s="9">
        <v>362</v>
      </c>
      <c r="T82" s="11" t="s">
        <v>10</v>
      </c>
      <c r="U82" s="26" t="s">
        <v>17</v>
      </c>
      <c r="V82" s="14">
        <f>(C77+C78+C80+C86+C89+C93+C98+C99)</f>
        <v>1456</v>
      </c>
      <c r="W82" s="15">
        <f>SUM(V82/V83)</f>
        <v>0.39651416122004357</v>
      </c>
      <c r="X82" s="5">
        <v>3</v>
      </c>
    </row>
    <row r="83" spans="1:24" s="2" customFormat="1" ht="15.75" thickBot="1">
      <c r="A83" s="17" t="s">
        <v>566</v>
      </c>
      <c r="B83" s="99" t="s">
        <v>367</v>
      </c>
      <c r="C83" s="76">
        <v>200</v>
      </c>
      <c r="D83" s="76">
        <v>200</v>
      </c>
      <c r="E83" s="76">
        <v>202</v>
      </c>
      <c r="F83" s="76">
        <v>204</v>
      </c>
      <c r="G83" s="76">
        <v>204</v>
      </c>
      <c r="H83" s="76">
        <v>204</v>
      </c>
      <c r="I83" s="76">
        <v>223</v>
      </c>
      <c r="J83" s="76">
        <v>223</v>
      </c>
      <c r="K83" s="76">
        <v>223</v>
      </c>
      <c r="L83" s="76">
        <v>225</v>
      </c>
      <c r="M83" s="76">
        <v>226</v>
      </c>
      <c r="N83" s="76">
        <v>226</v>
      </c>
      <c r="O83" s="76">
        <v>228</v>
      </c>
      <c r="P83" s="76"/>
      <c r="Q83" s="76">
        <v>243</v>
      </c>
      <c r="R83" s="76">
        <v>246</v>
      </c>
      <c r="S83" s="76" t="s">
        <v>16</v>
      </c>
      <c r="V83" s="22">
        <v>3672</v>
      </c>
    </row>
    <row r="84" spans="1:24" s="2" customFormat="1" ht="15.75" thickBot="1">
      <c r="A84" s="7" t="s">
        <v>575</v>
      </c>
      <c r="B84" s="109" t="s">
        <v>509</v>
      </c>
      <c r="C84" s="76">
        <v>197</v>
      </c>
      <c r="D84" s="76">
        <v>197</v>
      </c>
      <c r="E84" s="76">
        <v>197</v>
      </c>
      <c r="F84" s="76">
        <v>197</v>
      </c>
      <c r="G84" s="76">
        <v>197</v>
      </c>
      <c r="H84" s="76">
        <v>200</v>
      </c>
      <c r="I84" s="76">
        <v>201</v>
      </c>
      <c r="J84" s="76">
        <v>203</v>
      </c>
      <c r="K84" s="76">
        <v>203</v>
      </c>
      <c r="L84" s="76">
        <v>205</v>
      </c>
      <c r="M84" s="76">
        <v>212</v>
      </c>
      <c r="N84" s="76">
        <v>213</v>
      </c>
      <c r="O84" s="76">
        <v>214</v>
      </c>
      <c r="P84" s="76"/>
      <c r="Q84" s="76">
        <v>259</v>
      </c>
      <c r="R84" s="76">
        <v>265</v>
      </c>
      <c r="S84" s="9">
        <v>279</v>
      </c>
      <c r="T84" s="11" t="s">
        <v>452</v>
      </c>
    </row>
    <row r="85" spans="1:24" s="2" customFormat="1" ht="15.75" thickBot="1">
      <c r="A85" s="7" t="s">
        <v>397</v>
      </c>
      <c r="B85" s="8" t="s">
        <v>545</v>
      </c>
      <c r="C85" s="76">
        <v>181</v>
      </c>
      <c r="D85" s="76">
        <v>185</v>
      </c>
      <c r="E85" s="76">
        <v>191</v>
      </c>
      <c r="F85" s="76">
        <v>196</v>
      </c>
      <c r="G85" s="76">
        <v>207</v>
      </c>
      <c r="H85" s="76">
        <v>208</v>
      </c>
      <c r="I85" s="76">
        <v>210</v>
      </c>
      <c r="J85" s="76">
        <v>219</v>
      </c>
      <c r="K85" s="76">
        <v>221</v>
      </c>
      <c r="L85" s="76">
        <v>227</v>
      </c>
      <c r="M85" s="76">
        <v>228</v>
      </c>
      <c r="N85" s="76">
        <v>255</v>
      </c>
      <c r="O85" s="76">
        <v>259</v>
      </c>
      <c r="P85" s="76"/>
      <c r="Q85" s="76">
        <v>276</v>
      </c>
      <c r="R85" s="76">
        <v>280</v>
      </c>
      <c r="S85" s="9">
        <v>281</v>
      </c>
      <c r="T85" s="11" t="s">
        <v>57</v>
      </c>
      <c r="U85" s="15"/>
      <c r="V85" s="5"/>
    </row>
    <row r="86" spans="1:24" s="2" customFormat="1" ht="15.75" thickBot="1">
      <c r="A86" s="17" t="s">
        <v>36</v>
      </c>
      <c r="B86" s="104" t="s">
        <v>27</v>
      </c>
      <c r="C86" s="76">
        <v>172</v>
      </c>
      <c r="D86" s="76">
        <v>173</v>
      </c>
      <c r="E86" s="76">
        <v>173</v>
      </c>
      <c r="F86" s="76">
        <v>173</v>
      </c>
      <c r="G86" s="76">
        <v>175</v>
      </c>
      <c r="H86" s="76">
        <v>178</v>
      </c>
      <c r="I86" s="76">
        <v>179</v>
      </c>
      <c r="J86" s="76">
        <v>179</v>
      </c>
      <c r="K86" s="76">
        <v>179</v>
      </c>
      <c r="L86" s="76">
        <v>219</v>
      </c>
      <c r="M86" s="76">
        <v>223</v>
      </c>
      <c r="N86" s="76">
        <v>223</v>
      </c>
      <c r="O86" s="76">
        <v>223</v>
      </c>
      <c r="P86" s="76"/>
      <c r="Q86" s="76">
        <v>227</v>
      </c>
      <c r="R86" s="76" t="s">
        <v>16</v>
      </c>
    </row>
    <row r="87" spans="1:24" s="2" customFormat="1" ht="15.75" thickBot="1">
      <c r="A87" s="17" t="s">
        <v>570</v>
      </c>
      <c r="B87" s="99" t="s">
        <v>367</v>
      </c>
      <c r="C87" s="76">
        <v>147</v>
      </c>
      <c r="D87" s="76">
        <v>148</v>
      </c>
      <c r="E87" s="76">
        <v>156</v>
      </c>
      <c r="F87" s="76">
        <v>157</v>
      </c>
      <c r="G87" s="76">
        <v>166</v>
      </c>
      <c r="H87" s="76">
        <v>166</v>
      </c>
      <c r="I87" s="76">
        <v>167</v>
      </c>
      <c r="J87" s="76">
        <v>191</v>
      </c>
      <c r="K87" s="76">
        <v>192</v>
      </c>
      <c r="L87" s="76">
        <v>193</v>
      </c>
      <c r="M87" s="76">
        <v>194</v>
      </c>
      <c r="N87" s="76">
        <v>199</v>
      </c>
      <c r="O87" s="76">
        <v>201</v>
      </c>
      <c r="P87" s="76"/>
      <c r="Q87" s="76">
        <v>247</v>
      </c>
      <c r="R87" s="76">
        <v>251</v>
      </c>
      <c r="S87" s="76">
        <v>264</v>
      </c>
      <c r="T87" s="11"/>
    </row>
    <row r="88" spans="1:24" s="2" customFormat="1" ht="15.75" thickBot="1">
      <c r="A88" s="17" t="s">
        <v>569</v>
      </c>
      <c r="B88" s="99" t="s">
        <v>367</v>
      </c>
      <c r="C88" s="76">
        <v>143</v>
      </c>
      <c r="D88" s="76">
        <v>143</v>
      </c>
      <c r="E88" s="76">
        <v>143</v>
      </c>
      <c r="F88" s="76">
        <v>143</v>
      </c>
      <c r="G88" s="76">
        <v>144</v>
      </c>
      <c r="H88" s="76">
        <v>153</v>
      </c>
      <c r="I88" s="76">
        <v>158</v>
      </c>
      <c r="J88" s="76">
        <v>160</v>
      </c>
      <c r="K88" s="76">
        <v>160</v>
      </c>
      <c r="L88" s="76">
        <v>161</v>
      </c>
      <c r="M88" s="76">
        <v>163</v>
      </c>
      <c r="N88" s="76">
        <v>163</v>
      </c>
      <c r="O88" s="76">
        <v>163</v>
      </c>
      <c r="P88" s="76"/>
      <c r="Q88" s="76" t="s">
        <v>16</v>
      </c>
    </row>
    <row r="89" spans="1:24" s="2" customFormat="1" ht="15.75" thickBot="1">
      <c r="A89" s="17" t="s">
        <v>424</v>
      </c>
      <c r="B89" s="41" t="s">
        <v>18</v>
      </c>
      <c r="C89" s="76">
        <v>108</v>
      </c>
      <c r="D89" s="76">
        <v>112</v>
      </c>
      <c r="E89" s="76">
        <v>115</v>
      </c>
      <c r="F89" s="76">
        <v>133</v>
      </c>
      <c r="G89" s="76">
        <v>138</v>
      </c>
      <c r="H89" s="76">
        <v>138</v>
      </c>
      <c r="I89" s="76">
        <v>138</v>
      </c>
      <c r="J89" s="76">
        <v>142</v>
      </c>
      <c r="K89" s="76">
        <v>143</v>
      </c>
      <c r="L89" s="76">
        <v>146</v>
      </c>
      <c r="M89" s="76">
        <v>146</v>
      </c>
      <c r="N89" s="76">
        <v>153</v>
      </c>
      <c r="O89" s="76">
        <v>154</v>
      </c>
      <c r="P89" s="76" t="s">
        <v>16</v>
      </c>
    </row>
    <row r="90" spans="1:24" s="2" customFormat="1" ht="15.75" thickBot="1">
      <c r="A90" s="17" t="s">
        <v>444</v>
      </c>
      <c r="B90" s="23" t="s">
        <v>545</v>
      </c>
      <c r="C90" s="76">
        <v>101</v>
      </c>
      <c r="D90" s="76">
        <v>101</v>
      </c>
      <c r="E90" s="76">
        <v>105</v>
      </c>
      <c r="F90" s="76">
        <v>106</v>
      </c>
      <c r="G90" s="76">
        <v>106</v>
      </c>
      <c r="H90" s="76">
        <v>106</v>
      </c>
      <c r="I90" s="76">
        <v>107</v>
      </c>
      <c r="J90" s="76">
        <v>118</v>
      </c>
      <c r="K90" s="76">
        <v>118</v>
      </c>
      <c r="L90" s="76">
        <v>121</v>
      </c>
      <c r="M90" s="76">
        <v>121</v>
      </c>
      <c r="N90" s="76" t="s">
        <v>16</v>
      </c>
    </row>
    <row r="91" spans="1:24" s="2" customFormat="1" ht="15.75" thickBot="1">
      <c r="A91" s="17" t="s">
        <v>310</v>
      </c>
      <c r="B91" s="23" t="s">
        <v>545</v>
      </c>
      <c r="C91" s="76">
        <v>99</v>
      </c>
      <c r="D91" s="76">
        <v>100</v>
      </c>
      <c r="E91" s="76">
        <v>101</v>
      </c>
      <c r="F91" s="76">
        <v>101</v>
      </c>
      <c r="G91" s="76">
        <v>101</v>
      </c>
      <c r="H91" s="76">
        <v>103</v>
      </c>
      <c r="I91" s="76">
        <v>105</v>
      </c>
      <c r="J91" s="76">
        <v>107</v>
      </c>
      <c r="K91" s="76">
        <v>107</v>
      </c>
      <c r="L91" s="76" t="s">
        <v>16</v>
      </c>
    </row>
    <row r="92" spans="1:24" s="2" customFormat="1" ht="15.75" thickBot="1">
      <c r="A92" s="17" t="s">
        <v>572</v>
      </c>
      <c r="B92" s="25" t="s">
        <v>509</v>
      </c>
      <c r="C92" s="76">
        <v>99</v>
      </c>
      <c r="D92" s="76">
        <v>99</v>
      </c>
      <c r="E92" s="76">
        <v>99</v>
      </c>
      <c r="F92" s="76">
        <v>99</v>
      </c>
      <c r="G92" s="76">
        <v>99</v>
      </c>
      <c r="H92" s="76">
        <v>109</v>
      </c>
      <c r="I92" s="76">
        <v>111</v>
      </c>
      <c r="J92" s="76">
        <v>111</v>
      </c>
      <c r="K92" s="76">
        <v>111</v>
      </c>
      <c r="L92" s="76">
        <v>113</v>
      </c>
      <c r="M92" s="76" t="s">
        <v>16</v>
      </c>
    </row>
    <row r="93" spans="1:24" s="2" customFormat="1" ht="15.75" thickBot="1">
      <c r="A93" s="17" t="s">
        <v>567</v>
      </c>
      <c r="B93" s="41" t="s">
        <v>18</v>
      </c>
      <c r="C93" s="76">
        <v>89</v>
      </c>
      <c r="D93" s="76">
        <v>89</v>
      </c>
      <c r="E93" s="76">
        <v>89</v>
      </c>
      <c r="F93" s="76">
        <v>90</v>
      </c>
      <c r="G93" s="76">
        <v>95</v>
      </c>
      <c r="H93" s="76">
        <v>95</v>
      </c>
      <c r="I93" s="76">
        <v>95</v>
      </c>
      <c r="J93" s="76" t="s">
        <v>16</v>
      </c>
    </row>
    <row r="94" spans="1:24" s="2" customFormat="1" ht="15.75" thickBot="1">
      <c r="A94" s="17" t="s">
        <v>602</v>
      </c>
      <c r="B94" s="25" t="s">
        <v>509</v>
      </c>
      <c r="C94" s="76">
        <v>76</v>
      </c>
      <c r="D94" s="76">
        <v>76</v>
      </c>
      <c r="E94" s="76">
        <v>79</v>
      </c>
      <c r="F94" s="76">
        <v>81</v>
      </c>
      <c r="G94" s="76">
        <v>82</v>
      </c>
      <c r="H94" s="76">
        <v>84</v>
      </c>
      <c r="I94" s="76" t="s">
        <v>16</v>
      </c>
    </row>
    <row r="95" spans="1:24" s="2" customFormat="1" ht="15.75" thickBot="1">
      <c r="A95" s="17" t="s">
        <v>603</v>
      </c>
      <c r="B95" s="25" t="s">
        <v>509</v>
      </c>
      <c r="C95" s="76">
        <v>67</v>
      </c>
      <c r="D95" s="76">
        <v>67</v>
      </c>
      <c r="E95" s="76">
        <v>67</v>
      </c>
      <c r="F95" s="76">
        <v>67</v>
      </c>
      <c r="G95" s="76">
        <v>69</v>
      </c>
      <c r="H95" s="76" t="s">
        <v>16</v>
      </c>
    </row>
    <row r="96" spans="1:24" s="2" customFormat="1" ht="15.75" thickBot="1">
      <c r="A96" s="17" t="s">
        <v>571</v>
      </c>
      <c r="B96" s="25" t="s">
        <v>509</v>
      </c>
      <c r="C96" s="76">
        <v>61</v>
      </c>
      <c r="D96" s="76">
        <v>61</v>
      </c>
      <c r="E96" s="76">
        <v>66</v>
      </c>
      <c r="F96" s="76">
        <v>66</v>
      </c>
      <c r="G96" s="76" t="s">
        <v>16</v>
      </c>
    </row>
    <row r="97" spans="1:13" s="2" customFormat="1" ht="15.75" thickBot="1">
      <c r="A97" s="17" t="s">
        <v>573</v>
      </c>
      <c r="B97" s="25" t="s">
        <v>509</v>
      </c>
      <c r="C97" s="76">
        <v>50</v>
      </c>
      <c r="D97" s="76">
        <v>50</v>
      </c>
      <c r="E97" s="76" t="s">
        <v>16</v>
      </c>
    </row>
    <row r="98" spans="1:13" s="2" customFormat="1" ht="15.75" thickBot="1">
      <c r="A98" s="17" t="s">
        <v>544</v>
      </c>
      <c r="B98" s="41" t="s">
        <v>18</v>
      </c>
      <c r="C98" s="76">
        <v>48</v>
      </c>
      <c r="D98" s="76">
        <v>51</v>
      </c>
      <c r="E98" s="76">
        <v>51</v>
      </c>
      <c r="F98" s="76" t="s">
        <v>16</v>
      </c>
    </row>
    <row r="99" spans="1:13" s="2" customFormat="1" ht="15.75" thickBot="1">
      <c r="A99" s="17" t="s">
        <v>518</v>
      </c>
      <c r="B99" s="41" t="s">
        <v>18</v>
      </c>
      <c r="C99" s="76">
        <v>25</v>
      </c>
      <c r="D99" s="76" t="s">
        <v>16</v>
      </c>
      <c r="M99" s="22"/>
    </row>
    <row r="100" spans="1:13" s="2" customFormat="1" ht="15">
      <c r="A100" s="40"/>
      <c r="C100" s="38"/>
      <c r="D100" s="38"/>
      <c r="E100" s="38"/>
      <c r="F100" s="38"/>
      <c r="G100" s="38"/>
    </row>
    <row r="101" spans="1:13">
      <c r="A101" s="27"/>
      <c r="B101" s="27" t="s">
        <v>19</v>
      </c>
      <c r="C101" s="28" t="s">
        <v>545</v>
      </c>
      <c r="D101" s="29" t="s">
        <v>509</v>
      </c>
      <c r="E101" s="91" t="s">
        <v>13</v>
      </c>
      <c r="F101" s="73" t="s">
        <v>367</v>
      </c>
      <c r="G101" s="108" t="s">
        <v>548</v>
      </c>
      <c r="H101" s="27" t="s">
        <v>17</v>
      </c>
      <c r="I101" s="73"/>
    </row>
    <row r="102" spans="1:13" ht="14.25">
      <c r="A102" s="32" t="s">
        <v>5</v>
      </c>
      <c r="B102" s="33">
        <f>SUM(V83+V54+R31+O10)</f>
        <v>17110</v>
      </c>
      <c r="C102" s="34">
        <f>SUM(V78+V49+R25+O5)</f>
        <v>1660</v>
      </c>
      <c r="D102" s="34">
        <f>(V50+R26+O6+V79)</f>
        <v>5882</v>
      </c>
      <c r="E102" s="34">
        <v>360</v>
      </c>
      <c r="F102" s="34">
        <f>(V80+V51+R28+O7)</f>
        <v>2693</v>
      </c>
      <c r="G102" s="34">
        <f>(V81+V52+R29+O8)</f>
        <v>2020</v>
      </c>
      <c r="H102" s="34">
        <f>SUM(V53+R30+V82+O9)</f>
        <v>4495</v>
      </c>
      <c r="I102" s="34"/>
    </row>
    <row r="103" spans="1:13" ht="14.25">
      <c r="A103" s="32" t="s">
        <v>6</v>
      </c>
      <c r="B103" s="35">
        <v>1</v>
      </c>
      <c r="C103" s="36">
        <f t="shared" ref="C103:H103" si="0">SUM(C102/$B$102)</f>
        <v>9.7019286966686144E-2</v>
      </c>
      <c r="D103" s="36">
        <f t="shared" si="0"/>
        <v>0.34377556984219754</v>
      </c>
      <c r="E103" s="36">
        <f t="shared" si="0"/>
        <v>2.1040327293980129E-2</v>
      </c>
      <c r="F103" s="36">
        <f t="shared" si="0"/>
        <v>0.15739333722969023</v>
      </c>
      <c r="G103" s="36">
        <f t="shared" si="0"/>
        <v>0.11805961426066627</v>
      </c>
      <c r="H103" s="36">
        <f t="shared" si="0"/>
        <v>0.26271186440677968</v>
      </c>
      <c r="I103" s="36"/>
    </row>
    <row r="104" spans="1:13" ht="14.25">
      <c r="A104" s="32" t="s">
        <v>7</v>
      </c>
      <c r="B104" s="27">
        <v>32</v>
      </c>
      <c r="C104">
        <v>3</v>
      </c>
      <c r="D104">
        <v>9</v>
      </c>
      <c r="E104">
        <v>1</v>
      </c>
      <c r="F104">
        <v>6</v>
      </c>
      <c r="G104">
        <v>5</v>
      </c>
      <c r="H104">
        <v>8</v>
      </c>
    </row>
  </sheetData>
  <sortState ref="A77:C99">
    <sortCondition descending="1" ref="C77:C9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79"/>
  <sheetViews>
    <sheetView workbookViewId="0">
      <selection activeCell="O1" sqref="O1"/>
    </sheetView>
  </sheetViews>
  <sheetFormatPr defaultRowHeight="12.75"/>
  <cols>
    <col min="1" max="1" width="23.7109375" customWidth="1"/>
    <col min="6" max="6" width="9" customWidth="1"/>
    <col min="13" max="13" width="9.42578125" bestFit="1" customWidth="1"/>
  </cols>
  <sheetData>
    <row r="1" spans="1:14" s="2" customFormat="1" ht="14.25">
      <c r="A1" s="1" t="s">
        <v>505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(4480/7208)</f>
        <v>0.6215316315205327</v>
      </c>
    </row>
    <row r="4" spans="1:14" s="2" customFormat="1" ht="15.75" thickBot="1">
      <c r="A4" s="7" t="s">
        <v>359</v>
      </c>
      <c r="B4" s="42" t="s">
        <v>18</v>
      </c>
      <c r="C4" s="9">
        <v>671</v>
      </c>
      <c r="D4" s="76"/>
      <c r="E4" s="76"/>
      <c r="F4" s="76"/>
      <c r="G4" s="76"/>
      <c r="H4" s="76"/>
      <c r="I4" s="76"/>
      <c r="J4" s="75" t="s">
        <v>4</v>
      </c>
      <c r="K4" s="5"/>
      <c r="L4" s="6" t="s">
        <v>5</v>
      </c>
      <c r="M4" s="6" t="s">
        <v>6</v>
      </c>
      <c r="N4" s="6" t="s">
        <v>7</v>
      </c>
    </row>
    <row r="5" spans="1:14" s="2" customFormat="1" ht="15.75" thickBot="1">
      <c r="A5" s="7" t="s">
        <v>426</v>
      </c>
      <c r="B5" s="42" t="s">
        <v>18</v>
      </c>
      <c r="C5" s="9">
        <v>626</v>
      </c>
      <c r="D5" s="76"/>
      <c r="E5" s="76"/>
      <c r="F5" s="76"/>
      <c r="G5" s="76"/>
      <c r="H5" s="76"/>
      <c r="I5" s="76"/>
      <c r="J5" s="75" t="s">
        <v>9</v>
      </c>
      <c r="K5" s="13" t="s">
        <v>8</v>
      </c>
      <c r="L5" s="14">
        <f>(C7+C8+C10+C11)</f>
        <v>1515</v>
      </c>
      <c r="M5" s="15">
        <f>SUM(L5/L9)</f>
        <v>0.34676127260242617</v>
      </c>
      <c r="N5" s="5">
        <v>3</v>
      </c>
    </row>
    <row r="6" spans="1:14" s="2" customFormat="1" ht="15.75" thickBot="1">
      <c r="A6" s="7" t="s">
        <v>363</v>
      </c>
      <c r="B6" s="42" t="s">
        <v>18</v>
      </c>
      <c r="C6" s="76">
        <v>478</v>
      </c>
      <c r="D6" s="76">
        <v>502</v>
      </c>
      <c r="E6" s="76">
        <v>515</v>
      </c>
      <c r="F6" s="9">
        <v>560</v>
      </c>
      <c r="G6" s="76"/>
      <c r="H6" s="76"/>
      <c r="I6" s="76"/>
      <c r="J6" s="75" t="s">
        <v>12</v>
      </c>
      <c r="K6" s="16" t="s">
        <v>509</v>
      </c>
      <c r="L6" s="14">
        <v>299</v>
      </c>
      <c r="M6" s="15">
        <f>SUM(L6/L9)</f>
        <v>6.8436713206683458E-2</v>
      </c>
      <c r="N6" s="5"/>
    </row>
    <row r="7" spans="1:14" s="2" customFormat="1" ht="15.75" thickBot="1">
      <c r="A7" s="7" t="s">
        <v>425</v>
      </c>
      <c r="B7" s="8" t="s">
        <v>8</v>
      </c>
      <c r="C7" s="76">
        <v>434</v>
      </c>
      <c r="D7" s="76">
        <v>435</v>
      </c>
      <c r="E7" s="76">
        <v>438</v>
      </c>
      <c r="F7" s="76">
        <v>438</v>
      </c>
      <c r="G7" s="76">
        <v>439</v>
      </c>
      <c r="H7" s="76">
        <v>506</v>
      </c>
      <c r="I7" s="9">
        <v>517</v>
      </c>
      <c r="J7" s="75" t="s">
        <v>10</v>
      </c>
      <c r="K7" s="93" t="s">
        <v>367</v>
      </c>
      <c r="L7" s="38">
        <v>290</v>
      </c>
      <c r="M7" s="39">
        <f>SUM(L7/L9)</f>
        <v>6.6376745250629435E-2</v>
      </c>
      <c r="N7" s="2">
        <v>1</v>
      </c>
    </row>
    <row r="8" spans="1:14" s="2" customFormat="1" ht="15.75" thickBot="1">
      <c r="A8" s="7" t="s">
        <v>514</v>
      </c>
      <c r="B8" s="8" t="s">
        <v>8</v>
      </c>
      <c r="C8" s="76">
        <v>425</v>
      </c>
      <c r="D8" s="76">
        <v>430</v>
      </c>
      <c r="E8" s="76">
        <v>453</v>
      </c>
      <c r="F8" s="76">
        <v>453</v>
      </c>
      <c r="G8" s="76">
        <v>453</v>
      </c>
      <c r="H8" s="76">
        <v>460</v>
      </c>
      <c r="I8" s="9">
        <v>499</v>
      </c>
      <c r="J8" s="75" t="s">
        <v>14</v>
      </c>
      <c r="K8" s="26" t="s">
        <v>17</v>
      </c>
      <c r="L8" s="38">
        <f>(C4+C5+C6+C9+C14)</f>
        <v>2265</v>
      </c>
      <c r="M8" s="39">
        <f>SUM(L8/L9)</f>
        <v>0.51842526894026097</v>
      </c>
      <c r="N8" s="2">
        <v>3</v>
      </c>
    </row>
    <row r="9" spans="1:14" s="2" customFormat="1" ht="15.75" thickBot="1">
      <c r="A9" s="17" t="s">
        <v>589</v>
      </c>
      <c r="B9" s="41" t="s">
        <v>18</v>
      </c>
      <c r="C9" s="76">
        <v>403</v>
      </c>
      <c r="D9" s="76">
        <v>409</v>
      </c>
      <c r="E9" s="76">
        <v>414</v>
      </c>
      <c r="F9" s="76">
        <v>414</v>
      </c>
      <c r="G9" s="76">
        <v>414</v>
      </c>
      <c r="H9" s="76">
        <v>429</v>
      </c>
      <c r="I9" s="76">
        <v>452</v>
      </c>
      <c r="J9" s="75"/>
      <c r="L9" s="22">
        <v>4369</v>
      </c>
    </row>
    <row r="10" spans="1:14" s="2" customFormat="1" ht="15.75" thickBot="1">
      <c r="A10" s="7" t="s">
        <v>513</v>
      </c>
      <c r="B10" s="8" t="s">
        <v>8</v>
      </c>
      <c r="C10" s="76">
        <v>351</v>
      </c>
      <c r="D10" s="76">
        <v>385</v>
      </c>
      <c r="E10" s="76">
        <v>386</v>
      </c>
      <c r="F10" s="76">
        <v>389</v>
      </c>
      <c r="G10" s="76">
        <v>391</v>
      </c>
      <c r="H10" s="76">
        <v>455</v>
      </c>
      <c r="I10" s="9">
        <v>471</v>
      </c>
      <c r="J10" s="9" t="s">
        <v>57</v>
      </c>
    </row>
    <row r="11" spans="1:14" s="2" customFormat="1" ht="15.75" thickBot="1">
      <c r="A11" s="17" t="s">
        <v>427</v>
      </c>
      <c r="B11" s="23" t="s">
        <v>8</v>
      </c>
      <c r="C11" s="76">
        <v>305</v>
      </c>
      <c r="D11" s="76">
        <v>323</v>
      </c>
      <c r="E11" s="76">
        <v>326</v>
      </c>
      <c r="F11" s="76">
        <v>330</v>
      </c>
      <c r="G11" s="76">
        <v>332</v>
      </c>
      <c r="H11" s="76" t="s">
        <v>16</v>
      </c>
    </row>
    <row r="12" spans="1:14" s="2" customFormat="1" ht="15.75" thickBot="1">
      <c r="A12" s="17" t="s">
        <v>587</v>
      </c>
      <c r="B12" s="25" t="s">
        <v>509</v>
      </c>
      <c r="C12" s="76">
        <v>299</v>
      </c>
      <c r="D12" s="76">
        <v>317</v>
      </c>
      <c r="E12" s="76">
        <v>346</v>
      </c>
      <c r="F12" s="76">
        <v>348</v>
      </c>
      <c r="G12" s="76">
        <v>349</v>
      </c>
      <c r="H12" s="76">
        <v>370</v>
      </c>
      <c r="I12" s="76" t="s">
        <v>16</v>
      </c>
    </row>
    <row r="13" spans="1:14" s="2" customFormat="1" ht="15.75" thickBot="1">
      <c r="A13" s="7" t="s">
        <v>510</v>
      </c>
      <c r="B13" s="98" t="s">
        <v>367</v>
      </c>
      <c r="C13" s="76">
        <v>290</v>
      </c>
      <c r="D13" s="76">
        <v>304</v>
      </c>
      <c r="E13" s="76">
        <v>306</v>
      </c>
      <c r="F13" s="76">
        <v>329</v>
      </c>
      <c r="G13" s="76">
        <v>336</v>
      </c>
      <c r="H13" s="76">
        <v>440</v>
      </c>
      <c r="I13" s="9">
        <v>503</v>
      </c>
      <c r="J13" s="75" t="s">
        <v>15</v>
      </c>
    </row>
    <row r="14" spans="1:14" s="2" customFormat="1" ht="15.75" thickBot="1">
      <c r="A14" s="17" t="s">
        <v>360</v>
      </c>
      <c r="B14" s="41" t="s">
        <v>18</v>
      </c>
      <c r="C14" s="76">
        <v>87</v>
      </c>
      <c r="D14" s="76">
        <v>91</v>
      </c>
      <c r="E14" s="76">
        <v>91</v>
      </c>
      <c r="F14" s="76" t="s">
        <v>16</v>
      </c>
      <c r="I14" s="38"/>
      <c r="J14" s="38"/>
    </row>
    <row r="15" spans="1:14" s="2" customFormat="1" ht="14.25">
      <c r="C15" s="38"/>
    </row>
    <row r="16" spans="1:14" s="2" customFormat="1" ht="14.25">
      <c r="A16" s="1" t="s">
        <v>506</v>
      </c>
    </row>
    <row r="17" spans="1:18" s="2" customFormat="1" ht="9.75" customHeight="1" thickBot="1">
      <c r="A17" s="1"/>
    </row>
    <row r="18" spans="1:18" s="2" customFormat="1" ht="15.75" thickBot="1">
      <c r="A18" s="3" t="s">
        <v>0</v>
      </c>
      <c r="B18" s="4" t="s">
        <v>1</v>
      </c>
      <c r="C18" s="4" t="s">
        <v>2</v>
      </c>
      <c r="D18" s="4">
        <v>2</v>
      </c>
      <c r="E18" s="4">
        <v>3</v>
      </c>
      <c r="F18" s="4">
        <v>4</v>
      </c>
      <c r="G18" s="4">
        <v>5</v>
      </c>
      <c r="H18" s="4">
        <v>6</v>
      </c>
      <c r="I18" s="4">
        <v>7</v>
      </c>
      <c r="J18" s="4">
        <v>8</v>
      </c>
      <c r="K18" s="4">
        <v>9</v>
      </c>
      <c r="L18" s="4">
        <v>10</v>
      </c>
      <c r="M18" s="4">
        <v>11</v>
      </c>
      <c r="N18" s="4"/>
      <c r="O18" s="6" t="s">
        <v>289</v>
      </c>
      <c r="P18" s="39">
        <f>(5225/8849)</f>
        <v>0.59046219911854447</v>
      </c>
    </row>
    <row r="19" spans="1:18" s="2" customFormat="1" ht="15.75" thickBot="1">
      <c r="A19" s="7" t="s">
        <v>515</v>
      </c>
      <c r="B19" s="42" t="s">
        <v>18</v>
      </c>
      <c r="C19" s="9">
        <v>770</v>
      </c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5" t="s">
        <v>4</v>
      </c>
      <c r="O19" s="5"/>
      <c r="P19" s="6" t="s">
        <v>5</v>
      </c>
      <c r="Q19" s="6" t="s">
        <v>6</v>
      </c>
      <c r="R19" s="6" t="s">
        <v>7</v>
      </c>
    </row>
    <row r="20" spans="1:18" s="2" customFormat="1" ht="15.75" thickBot="1">
      <c r="A20" s="7" t="s">
        <v>577</v>
      </c>
      <c r="B20" s="98" t="s">
        <v>367</v>
      </c>
      <c r="C20" s="76">
        <v>440</v>
      </c>
      <c r="D20" s="76">
        <v>450</v>
      </c>
      <c r="E20" s="76">
        <v>452</v>
      </c>
      <c r="F20" s="76">
        <v>455</v>
      </c>
      <c r="G20" s="76">
        <v>459</v>
      </c>
      <c r="H20" s="76">
        <v>516</v>
      </c>
      <c r="I20" s="76">
        <v>517</v>
      </c>
      <c r="J20" s="76">
        <v>526</v>
      </c>
      <c r="K20" s="76">
        <v>544</v>
      </c>
      <c r="L20" s="76">
        <v>548</v>
      </c>
      <c r="M20" s="9">
        <v>556</v>
      </c>
      <c r="N20" s="75" t="s">
        <v>15</v>
      </c>
      <c r="O20" s="13" t="s">
        <v>8</v>
      </c>
      <c r="P20" s="14">
        <f>(C24+C33+C32+C34)</f>
        <v>792</v>
      </c>
      <c r="Q20" s="15">
        <f>SUM(P20/P26)</f>
        <v>0.15566037735849056</v>
      </c>
      <c r="R20" s="5">
        <v>1</v>
      </c>
    </row>
    <row r="21" spans="1:18" s="2" customFormat="1" ht="15.75" thickBot="1">
      <c r="A21" s="7" t="s">
        <v>595</v>
      </c>
      <c r="B21" s="20" t="s">
        <v>509</v>
      </c>
      <c r="C21" s="76">
        <v>417</v>
      </c>
      <c r="D21" s="76">
        <v>451</v>
      </c>
      <c r="E21" s="76">
        <v>452</v>
      </c>
      <c r="F21" s="76">
        <v>465</v>
      </c>
      <c r="G21" s="76">
        <v>471</v>
      </c>
      <c r="H21" s="76">
        <v>475</v>
      </c>
      <c r="I21" s="76">
        <v>486</v>
      </c>
      <c r="J21" s="76">
        <v>551</v>
      </c>
      <c r="K21" s="9">
        <v>583</v>
      </c>
      <c r="L21" s="76"/>
      <c r="M21" s="76"/>
      <c r="N21" s="75" t="s">
        <v>9</v>
      </c>
      <c r="O21" s="16" t="s">
        <v>509</v>
      </c>
      <c r="P21" s="14">
        <f>(C21+C23)</f>
        <v>805</v>
      </c>
      <c r="Q21" s="15">
        <f>SUM(P21/P26)</f>
        <v>0.15821540880503146</v>
      </c>
      <c r="R21" s="5">
        <v>2</v>
      </c>
    </row>
    <row r="22" spans="1:18" s="2" customFormat="1" ht="15.75" thickBot="1">
      <c r="A22" s="7" t="s">
        <v>520</v>
      </c>
      <c r="B22" s="42" t="s">
        <v>18</v>
      </c>
      <c r="C22" s="76">
        <v>398</v>
      </c>
      <c r="D22" s="76">
        <v>431</v>
      </c>
      <c r="E22" s="76">
        <v>448</v>
      </c>
      <c r="F22" s="76">
        <v>463</v>
      </c>
      <c r="G22" s="76">
        <v>463</v>
      </c>
      <c r="H22" s="76">
        <v>463</v>
      </c>
      <c r="I22" s="76">
        <v>469</v>
      </c>
      <c r="J22" s="76">
        <v>474</v>
      </c>
      <c r="K22" s="76">
        <v>481</v>
      </c>
      <c r="L22" s="76">
        <v>482</v>
      </c>
      <c r="M22" s="9">
        <v>490</v>
      </c>
      <c r="N22" s="75" t="s">
        <v>14</v>
      </c>
      <c r="O22" s="21" t="s">
        <v>13</v>
      </c>
      <c r="P22" s="38">
        <v>231</v>
      </c>
      <c r="Q22" s="39">
        <f>SUM(P22/P26)</f>
        <v>4.5400943396226412E-2</v>
      </c>
    </row>
    <row r="23" spans="1:18" s="2" customFormat="1" ht="15.75" thickBot="1">
      <c r="A23" s="7" t="s">
        <v>519</v>
      </c>
      <c r="B23" s="20" t="s">
        <v>509</v>
      </c>
      <c r="C23" s="76">
        <v>388</v>
      </c>
      <c r="D23" s="76">
        <v>396</v>
      </c>
      <c r="E23" s="76">
        <v>403</v>
      </c>
      <c r="F23" s="76">
        <v>416</v>
      </c>
      <c r="G23" s="76">
        <v>416</v>
      </c>
      <c r="H23" s="76">
        <v>422</v>
      </c>
      <c r="I23" s="76">
        <v>428</v>
      </c>
      <c r="J23" s="76">
        <v>440</v>
      </c>
      <c r="K23" s="76">
        <v>446</v>
      </c>
      <c r="L23" s="76">
        <v>446</v>
      </c>
      <c r="M23" s="9">
        <v>452</v>
      </c>
      <c r="N23" s="9" t="s">
        <v>57</v>
      </c>
      <c r="O23" s="93" t="s">
        <v>367</v>
      </c>
      <c r="P23" s="38">
        <f>(C20+C25+C27)</f>
        <v>1014</v>
      </c>
      <c r="Q23" s="39">
        <f>SUM(P23/P26)</f>
        <v>0.19929245283018868</v>
      </c>
      <c r="R23" s="2">
        <v>2</v>
      </c>
    </row>
    <row r="24" spans="1:18" s="2" customFormat="1" ht="15.75" thickBot="1">
      <c r="A24" s="7" t="s">
        <v>605</v>
      </c>
      <c r="B24" s="8" t="s">
        <v>8</v>
      </c>
      <c r="C24" s="76">
        <v>358</v>
      </c>
      <c r="D24" s="76">
        <v>366</v>
      </c>
      <c r="E24" s="76">
        <v>389</v>
      </c>
      <c r="F24" s="76">
        <v>392</v>
      </c>
      <c r="G24" s="76">
        <v>444</v>
      </c>
      <c r="H24" s="76">
        <v>495</v>
      </c>
      <c r="I24" s="76">
        <v>508</v>
      </c>
      <c r="J24" s="76">
        <v>561</v>
      </c>
      <c r="K24" s="76">
        <v>565</v>
      </c>
      <c r="L24" s="76">
        <v>565</v>
      </c>
      <c r="M24" s="9">
        <v>587</v>
      </c>
      <c r="N24" s="9" t="s">
        <v>12</v>
      </c>
      <c r="O24" s="102" t="s">
        <v>522</v>
      </c>
      <c r="P24" s="38">
        <f>(C30+C31)</f>
        <v>388</v>
      </c>
      <c r="Q24" s="39">
        <f>SUM(P24/P26)</f>
        <v>7.6257861635220123E-2</v>
      </c>
    </row>
    <row r="25" spans="1:18" s="2" customFormat="1" ht="15.75" thickBot="1">
      <c r="A25" s="17" t="s">
        <v>525</v>
      </c>
      <c r="B25" s="99" t="s">
        <v>367</v>
      </c>
      <c r="C25" s="76">
        <v>301</v>
      </c>
      <c r="D25" s="76">
        <v>333</v>
      </c>
      <c r="E25" s="76">
        <v>356</v>
      </c>
      <c r="F25" s="76">
        <v>366</v>
      </c>
      <c r="G25" s="76">
        <v>368</v>
      </c>
      <c r="H25" s="76">
        <v>374</v>
      </c>
      <c r="I25" s="76">
        <v>374</v>
      </c>
      <c r="J25" s="76">
        <v>376</v>
      </c>
      <c r="K25" s="76">
        <v>377</v>
      </c>
      <c r="L25" s="76">
        <v>377</v>
      </c>
      <c r="M25" s="76">
        <v>385</v>
      </c>
      <c r="N25" s="9"/>
      <c r="O25" s="26" t="s">
        <v>17</v>
      </c>
      <c r="P25" s="14">
        <f>(C19+C22+C26+C28+C35)</f>
        <v>1858</v>
      </c>
      <c r="Q25" s="15">
        <f>SUM(P25/P26)</f>
        <v>0.36517295597484278</v>
      </c>
      <c r="R25" s="5">
        <v>3</v>
      </c>
    </row>
    <row r="26" spans="1:18" s="2" customFormat="1" ht="15.75" thickBot="1">
      <c r="A26" s="17" t="s">
        <v>440</v>
      </c>
      <c r="B26" s="41" t="s">
        <v>18</v>
      </c>
      <c r="C26" s="76">
        <v>297</v>
      </c>
      <c r="D26" s="76">
        <v>302</v>
      </c>
      <c r="E26" s="76">
        <v>302</v>
      </c>
      <c r="F26" s="76">
        <v>303</v>
      </c>
      <c r="G26" s="76">
        <v>345</v>
      </c>
      <c r="H26" s="76">
        <v>345</v>
      </c>
      <c r="I26" s="76">
        <v>345</v>
      </c>
      <c r="J26" s="76">
        <v>348</v>
      </c>
      <c r="K26" s="76">
        <v>349</v>
      </c>
      <c r="L26" s="76">
        <v>349</v>
      </c>
      <c r="M26" s="76" t="s">
        <v>16</v>
      </c>
      <c r="P26" s="22">
        <v>5088</v>
      </c>
    </row>
    <row r="27" spans="1:18" s="2" customFormat="1" ht="15.75" thickBot="1">
      <c r="A27" s="7" t="s">
        <v>374</v>
      </c>
      <c r="B27" s="98" t="s">
        <v>367</v>
      </c>
      <c r="C27" s="76">
        <v>273</v>
      </c>
      <c r="D27" s="76">
        <v>302</v>
      </c>
      <c r="E27" s="76">
        <v>310</v>
      </c>
      <c r="F27" s="76">
        <v>325</v>
      </c>
      <c r="G27" s="76">
        <v>326</v>
      </c>
      <c r="H27" s="76">
        <v>327</v>
      </c>
      <c r="I27" s="76">
        <v>330</v>
      </c>
      <c r="J27" s="76">
        <v>376</v>
      </c>
      <c r="K27" s="76">
        <v>381</v>
      </c>
      <c r="L27" s="76">
        <v>383</v>
      </c>
      <c r="M27" s="9">
        <v>419</v>
      </c>
      <c r="N27" s="9" t="s">
        <v>452</v>
      </c>
    </row>
    <row r="28" spans="1:18" s="2" customFormat="1" ht="15.75" thickBot="1">
      <c r="A28" s="7" t="s">
        <v>482</v>
      </c>
      <c r="B28" s="42" t="s">
        <v>18</v>
      </c>
      <c r="C28" s="76">
        <v>269</v>
      </c>
      <c r="D28" s="76">
        <v>273</v>
      </c>
      <c r="E28" s="76">
        <v>275</v>
      </c>
      <c r="F28" s="76">
        <v>290</v>
      </c>
      <c r="G28" s="76">
        <v>312</v>
      </c>
      <c r="H28" s="76">
        <v>314</v>
      </c>
      <c r="I28" s="76">
        <v>346</v>
      </c>
      <c r="J28" s="76">
        <v>348</v>
      </c>
      <c r="K28" s="76">
        <v>453</v>
      </c>
      <c r="L28" s="76">
        <v>459</v>
      </c>
      <c r="M28" s="9">
        <v>570</v>
      </c>
      <c r="N28" s="9" t="s">
        <v>10</v>
      </c>
    </row>
    <row r="29" spans="1:18" s="2" customFormat="1" ht="15.75" thickBot="1">
      <c r="A29" s="17" t="s">
        <v>560</v>
      </c>
      <c r="B29" s="24" t="s">
        <v>13</v>
      </c>
      <c r="C29" s="76">
        <v>231</v>
      </c>
      <c r="D29" s="76">
        <v>242</v>
      </c>
      <c r="E29" s="76">
        <v>243</v>
      </c>
      <c r="F29" s="76">
        <v>246</v>
      </c>
      <c r="G29" s="76">
        <v>248</v>
      </c>
      <c r="H29" s="76">
        <v>250</v>
      </c>
      <c r="I29" s="76">
        <v>252</v>
      </c>
      <c r="J29" s="76" t="s">
        <v>16</v>
      </c>
    </row>
    <row r="30" spans="1:18" s="2" customFormat="1" ht="15.75" thickBot="1">
      <c r="A30" s="17" t="s">
        <v>523</v>
      </c>
      <c r="B30" s="101" t="s">
        <v>521</v>
      </c>
      <c r="C30" s="76">
        <v>197</v>
      </c>
      <c r="D30" s="76">
        <v>200</v>
      </c>
      <c r="E30" s="76">
        <v>203</v>
      </c>
      <c r="F30" s="76">
        <v>209</v>
      </c>
      <c r="G30" s="76">
        <v>210</v>
      </c>
      <c r="H30" s="76">
        <v>212</v>
      </c>
      <c r="I30" s="76">
        <v>300</v>
      </c>
      <c r="J30" s="76">
        <v>309</v>
      </c>
      <c r="K30" s="76" t="s">
        <v>16</v>
      </c>
      <c r="M30" s="38"/>
    </row>
    <row r="31" spans="1:18" s="2" customFormat="1" ht="15.75" thickBot="1">
      <c r="A31" s="17" t="s">
        <v>524</v>
      </c>
      <c r="B31" s="101" t="s">
        <v>521</v>
      </c>
      <c r="C31" s="76">
        <v>191</v>
      </c>
      <c r="D31" s="76">
        <v>193</v>
      </c>
      <c r="E31" s="76">
        <v>193</v>
      </c>
      <c r="F31" s="76">
        <v>202</v>
      </c>
      <c r="G31" s="76">
        <v>202</v>
      </c>
      <c r="H31" s="76">
        <v>202</v>
      </c>
      <c r="I31" s="76" t="s">
        <v>16</v>
      </c>
    </row>
    <row r="32" spans="1:18" s="2" customFormat="1" ht="15.75" thickBot="1">
      <c r="A32" s="17" t="s">
        <v>518</v>
      </c>
      <c r="B32" s="23" t="s">
        <v>8</v>
      </c>
      <c r="C32" s="76">
        <v>158</v>
      </c>
      <c r="D32" s="76">
        <v>158</v>
      </c>
      <c r="E32" s="76">
        <v>169</v>
      </c>
      <c r="F32" s="76">
        <v>170</v>
      </c>
      <c r="G32" s="76">
        <v>176</v>
      </c>
      <c r="H32" s="76" t="s">
        <v>16</v>
      </c>
    </row>
    <row r="33" spans="1:16" s="2" customFormat="1" ht="15.75" thickBot="1">
      <c r="A33" s="17" t="s">
        <v>449</v>
      </c>
      <c r="B33" s="23" t="s">
        <v>8</v>
      </c>
      <c r="C33" s="76">
        <v>152</v>
      </c>
      <c r="D33" s="76">
        <v>153</v>
      </c>
      <c r="E33" s="76">
        <v>163</v>
      </c>
      <c r="F33" s="76">
        <v>163</v>
      </c>
      <c r="G33" s="76" t="s">
        <v>16</v>
      </c>
      <c r="I33" s="38"/>
      <c r="J33" s="38"/>
      <c r="K33" s="38"/>
      <c r="L33" s="38"/>
      <c r="M33" s="38"/>
    </row>
    <row r="34" spans="1:16" s="2" customFormat="1" ht="15.75" thickBot="1">
      <c r="A34" s="17" t="s">
        <v>517</v>
      </c>
      <c r="B34" s="23" t="s">
        <v>8</v>
      </c>
      <c r="C34" s="76">
        <v>124</v>
      </c>
      <c r="D34" s="76">
        <v>133</v>
      </c>
      <c r="E34" s="76" t="s">
        <v>16</v>
      </c>
      <c r="H34" s="38"/>
      <c r="I34" s="38"/>
      <c r="J34" s="38"/>
      <c r="K34" s="38"/>
      <c r="L34" s="38"/>
      <c r="M34" s="38"/>
    </row>
    <row r="35" spans="1:16" s="2" customFormat="1" ht="15.75" thickBot="1">
      <c r="A35" s="17" t="s">
        <v>527</v>
      </c>
      <c r="B35" s="41" t="s">
        <v>18</v>
      </c>
      <c r="C35" s="76">
        <v>124</v>
      </c>
      <c r="D35" s="76">
        <v>139</v>
      </c>
      <c r="E35" s="76">
        <v>146</v>
      </c>
      <c r="F35" s="76" t="s">
        <v>16</v>
      </c>
      <c r="H35" s="38"/>
      <c r="I35" s="38"/>
      <c r="J35" s="38"/>
      <c r="K35" s="38"/>
      <c r="L35" s="38"/>
      <c r="M35" s="38"/>
    </row>
    <row r="36" spans="1:16" s="2" customFormat="1" ht="14.25">
      <c r="C36" s="38"/>
      <c r="D36" s="38"/>
      <c r="E36" s="38"/>
      <c r="F36" s="38"/>
    </row>
    <row r="37" spans="1:16" s="2" customFormat="1" ht="14.25">
      <c r="A37" s="1" t="s">
        <v>507</v>
      </c>
    </row>
    <row r="38" spans="1:16" s="2" customFormat="1" ht="9" customHeight="1" thickBot="1">
      <c r="A38" s="1"/>
    </row>
    <row r="39" spans="1:16" s="2" customFormat="1" ht="15.75" thickBot="1">
      <c r="A39" s="3" t="s">
        <v>0</v>
      </c>
      <c r="B39" s="4" t="s">
        <v>1</v>
      </c>
      <c r="C39" s="4" t="s">
        <v>2</v>
      </c>
      <c r="D39" s="4">
        <v>2</v>
      </c>
      <c r="E39" s="4">
        <v>3</v>
      </c>
      <c r="F39" s="4">
        <v>4</v>
      </c>
      <c r="G39" s="4">
        <v>5</v>
      </c>
      <c r="H39" s="4">
        <v>6</v>
      </c>
      <c r="I39" s="4">
        <v>7</v>
      </c>
      <c r="J39" s="4">
        <v>8</v>
      </c>
      <c r="K39" s="4">
        <v>9</v>
      </c>
      <c r="L39" s="4"/>
      <c r="M39" s="6" t="s">
        <v>289</v>
      </c>
      <c r="N39" s="39">
        <f>(5190/8894)</f>
        <v>0.58353946480773555</v>
      </c>
    </row>
    <row r="40" spans="1:16" s="2" customFormat="1" ht="15.75" thickBot="1">
      <c r="A40" s="7" t="s">
        <v>386</v>
      </c>
      <c r="B40" s="100" t="s">
        <v>521</v>
      </c>
      <c r="C40" s="9">
        <v>679</v>
      </c>
      <c r="D40" s="76"/>
      <c r="E40" s="76"/>
      <c r="F40" s="76"/>
      <c r="G40" s="76"/>
      <c r="H40" s="76"/>
      <c r="I40" s="76"/>
      <c r="J40" s="76"/>
      <c r="K40" s="76"/>
      <c r="L40" s="75" t="s">
        <v>4</v>
      </c>
      <c r="M40" s="5"/>
      <c r="N40" s="6" t="s">
        <v>5</v>
      </c>
      <c r="O40" s="6" t="s">
        <v>6</v>
      </c>
      <c r="P40" s="6" t="s">
        <v>7</v>
      </c>
    </row>
    <row r="41" spans="1:16" s="2" customFormat="1" ht="15.75" thickBot="1">
      <c r="A41" s="7" t="s">
        <v>308</v>
      </c>
      <c r="B41" s="42" t="s">
        <v>18</v>
      </c>
      <c r="C41" s="9">
        <v>599</v>
      </c>
      <c r="D41" s="76"/>
      <c r="E41" s="76"/>
      <c r="F41" s="76"/>
      <c r="G41" s="76"/>
      <c r="H41" s="76"/>
      <c r="I41" s="76"/>
      <c r="J41" s="76"/>
      <c r="K41" s="76"/>
      <c r="L41" s="75" t="s">
        <v>9</v>
      </c>
      <c r="M41" s="13" t="s">
        <v>8</v>
      </c>
      <c r="N41" s="14">
        <f>(C43+C46+C47+C50)</f>
        <v>1377</v>
      </c>
      <c r="O41" s="15">
        <f>SUM(N41/N46)</f>
        <v>0.27031802120141341</v>
      </c>
      <c r="P41" s="5">
        <v>3</v>
      </c>
    </row>
    <row r="42" spans="1:16" s="2" customFormat="1" ht="15.75" thickBot="1">
      <c r="A42" s="7" t="s">
        <v>461</v>
      </c>
      <c r="B42" s="105" t="s">
        <v>27</v>
      </c>
      <c r="C42" s="76">
        <v>489</v>
      </c>
      <c r="D42" s="76">
        <v>494</v>
      </c>
      <c r="E42" s="76">
        <v>502</v>
      </c>
      <c r="F42" s="9">
        <v>518</v>
      </c>
      <c r="G42" s="76"/>
      <c r="H42" s="76"/>
      <c r="I42" s="76"/>
      <c r="J42" s="76"/>
      <c r="K42" s="76"/>
      <c r="L42" s="75" t="s">
        <v>10</v>
      </c>
      <c r="M42" s="16" t="s">
        <v>509</v>
      </c>
      <c r="N42" s="14">
        <v>300</v>
      </c>
      <c r="O42" s="15">
        <f>SUM(N42/N46)</f>
        <v>5.8892815076560662E-2</v>
      </c>
      <c r="P42" s="5"/>
    </row>
    <row r="43" spans="1:16" s="2" customFormat="1" ht="15.75" thickBot="1">
      <c r="A43" s="7" t="s">
        <v>536</v>
      </c>
      <c r="B43" s="8" t="s">
        <v>8</v>
      </c>
      <c r="C43" s="76">
        <v>463</v>
      </c>
      <c r="D43" s="76">
        <v>464</v>
      </c>
      <c r="E43" s="76">
        <v>464</v>
      </c>
      <c r="F43" s="76">
        <v>467</v>
      </c>
      <c r="G43" s="76">
        <v>485</v>
      </c>
      <c r="H43" s="76">
        <v>485</v>
      </c>
      <c r="I43" s="76">
        <v>488</v>
      </c>
      <c r="J43" s="9">
        <v>510</v>
      </c>
      <c r="K43" s="76"/>
      <c r="L43" s="75" t="s">
        <v>15</v>
      </c>
      <c r="M43" s="93" t="s">
        <v>367</v>
      </c>
      <c r="N43" s="38">
        <v>188</v>
      </c>
      <c r="O43" s="39">
        <f>SUM(N43/N46)</f>
        <v>3.6906164114644681E-2</v>
      </c>
    </row>
    <row r="44" spans="1:16" s="2" customFormat="1" ht="15.75" thickBot="1">
      <c r="A44" s="7" t="s">
        <v>583</v>
      </c>
      <c r="B44" s="100" t="s">
        <v>521</v>
      </c>
      <c r="C44" s="80">
        <v>456</v>
      </c>
      <c r="D44" s="9">
        <v>602</v>
      </c>
      <c r="E44" s="76"/>
      <c r="F44" s="76"/>
      <c r="G44" s="76"/>
      <c r="H44" s="76"/>
      <c r="I44" s="76"/>
      <c r="J44" s="76"/>
      <c r="K44" s="76"/>
      <c r="L44" s="11" t="s">
        <v>12</v>
      </c>
      <c r="M44" s="102" t="s">
        <v>522</v>
      </c>
      <c r="N44" s="38">
        <f>(C40+C44)</f>
        <v>1135</v>
      </c>
      <c r="O44" s="39">
        <f>SUM(N44/N46)</f>
        <v>0.22281115037298782</v>
      </c>
      <c r="P44" s="2">
        <v>2</v>
      </c>
    </row>
    <row r="45" spans="1:16" s="2" customFormat="1" ht="15.75" thickBot="1">
      <c r="A45" s="7" t="s">
        <v>475</v>
      </c>
      <c r="B45" s="42" t="s">
        <v>18</v>
      </c>
      <c r="C45" s="76">
        <v>359</v>
      </c>
      <c r="D45" s="76">
        <v>360</v>
      </c>
      <c r="E45" s="76">
        <v>360</v>
      </c>
      <c r="F45" s="76">
        <v>363</v>
      </c>
      <c r="G45" s="76">
        <v>367</v>
      </c>
      <c r="H45" s="76">
        <v>367</v>
      </c>
      <c r="I45" s="76">
        <v>371</v>
      </c>
      <c r="J45" s="76">
        <v>374</v>
      </c>
      <c r="K45" s="9">
        <v>381</v>
      </c>
      <c r="L45" s="11" t="s">
        <v>452</v>
      </c>
      <c r="M45" s="6" t="s">
        <v>17</v>
      </c>
      <c r="N45" s="38">
        <f>(C41+C42+C45+C48+C51+C53+C54)</f>
        <v>2094</v>
      </c>
      <c r="O45" s="39">
        <f>SUM(N45/N46)</f>
        <v>0.41107184923439338</v>
      </c>
      <c r="P45" s="2">
        <v>4</v>
      </c>
    </row>
    <row r="46" spans="1:16" s="2" customFormat="1" ht="15.75" thickBot="1">
      <c r="A46" s="7" t="s">
        <v>533</v>
      </c>
      <c r="B46" s="8" t="s">
        <v>8</v>
      </c>
      <c r="C46" s="76">
        <v>327</v>
      </c>
      <c r="D46" s="76">
        <v>329</v>
      </c>
      <c r="E46" s="76">
        <v>329</v>
      </c>
      <c r="F46" s="76">
        <v>332</v>
      </c>
      <c r="G46" s="76">
        <v>348</v>
      </c>
      <c r="H46" s="76">
        <v>348</v>
      </c>
      <c r="I46" s="76">
        <v>350</v>
      </c>
      <c r="J46" s="76">
        <v>395</v>
      </c>
      <c r="K46" s="9">
        <v>506</v>
      </c>
      <c r="L46" s="11" t="s">
        <v>14</v>
      </c>
      <c r="N46" s="22">
        <v>5094</v>
      </c>
    </row>
    <row r="47" spans="1:16" s="2" customFormat="1" ht="15.75" thickBot="1">
      <c r="A47" s="7" t="s">
        <v>531</v>
      </c>
      <c r="B47" s="8" t="s">
        <v>8</v>
      </c>
      <c r="C47" s="76">
        <v>327</v>
      </c>
      <c r="D47" s="76">
        <v>328</v>
      </c>
      <c r="E47" s="76">
        <v>328</v>
      </c>
      <c r="F47" s="76">
        <v>328</v>
      </c>
      <c r="G47" s="76">
        <v>334</v>
      </c>
      <c r="H47" s="76">
        <v>335</v>
      </c>
      <c r="I47" s="76">
        <v>339</v>
      </c>
      <c r="J47" s="76">
        <v>347</v>
      </c>
      <c r="K47" s="9">
        <v>361</v>
      </c>
      <c r="L47" s="11" t="s">
        <v>462</v>
      </c>
    </row>
    <row r="48" spans="1:16" s="2" customFormat="1" ht="15.75" thickBot="1">
      <c r="A48" s="7" t="s">
        <v>538</v>
      </c>
      <c r="B48" s="42" t="s">
        <v>18</v>
      </c>
      <c r="C48" s="76">
        <v>315</v>
      </c>
      <c r="D48" s="76">
        <v>322</v>
      </c>
      <c r="E48" s="76">
        <v>330</v>
      </c>
      <c r="F48" s="76">
        <v>337</v>
      </c>
      <c r="G48" s="76">
        <v>347</v>
      </c>
      <c r="H48" s="76">
        <v>347</v>
      </c>
      <c r="I48" s="76">
        <v>364</v>
      </c>
      <c r="J48" s="76">
        <v>389</v>
      </c>
      <c r="K48" s="9">
        <v>408</v>
      </c>
      <c r="L48" s="11" t="s">
        <v>57</v>
      </c>
    </row>
    <row r="49" spans="1:19" s="2" customFormat="1" ht="15.75" thickBot="1">
      <c r="A49" s="17" t="s">
        <v>601</v>
      </c>
      <c r="B49" s="25" t="s">
        <v>509</v>
      </c>
      <c r="C49" s="80">
        <v>300</v>
      </c>
      <c r="D49" s="76">
        <v>302</v>
      </c>
      <c r="E49" s="76">
        <v>303</v>
      </c>
      <c r="F49" s="76">
        <v>309</v>
      </c>
      <c r="G49" s="76">
        <v>312</v>
      </c>
      <c r="H49" s="76">
        <v>313</v>
      </c>
      <c r="I49" s="76">
        <v>322</v>
      </c>
      <c r="J49" s="76">
        <v>333</v>
      </c>
      <c r="K49" s="76">
        <v>335</v>
      </c>
      <c r="L49" s="11"/>
    </row>
    <row r="50" spans="1:19" s="2" customFormat="1" ht="15.75" thickBot="1">
      <c r="A50" s="17" t="s">
        <v>535</v>
      </c>
      <c r="B50" s="23" t="s">
        <v>8</v>
      </c>
      <c r="C50" s="76">
        <v>260</v>
      </c>
      <c r="D50" s="76">
        <v>261</v>
      </c>
      <c r="E50" s="76">
        <v>262</v>
      </c>
      <c r="F50" s="76">
        <v>273</v>
      </c>
      <c r="G50" s="76">
        <v>280</v>
      </c>
      <c r="H50" s="76">
        <v>281</v>
      </c>
      <c r="I50" s="76">
        <v>304</v>
      </c>
      <c r="J50" s="76">
        <v>322</v>
      </c>
      <c r="K50" s="76" t="s">
        <v>16</v>
      </c>
    </row>
    <row r="51" spans="1:19" s="2" customFormat="1" ht="15.75" thickBot="1">
      <c r="A51" s="17" t="s">
        <v>537</v>
      </c>
      <c r="B51" s="41" t="s">
        <v>18</v>
      </c>
      <c r="C51" s="76">
        <v>230</v>
      </c>
      <c r="D51" s="76">
        <v>231</v>
      </c>
      <c r="E51" s="76">
        <v>232</v>
      </c>
      <c r="F51" s="76">
        <v>234</v>
      </c>
      <c r="G51" s="76">
        <v>235</v>
      </c>
      <c r="H51" s="76">
        <v>235</v>
      </c>
      <c r="I51" s="76" t="s">
        <v>16</v>
      </c>
    </row>
    <row r="52" spans="1:19" s="2" customFormat="1" ht="15.75" thickBot="1">
      <c r="A52" s="17" t="s">
        <v>65</v>
      </c>
      <c r="B52" s="103" t="s">
        <v>367</v>
      </c>
      <c r="C52" s="80">
        <v>188</v>
      </c>
      <c r="D52" s="76">
        <v>189</v>
      </c>
      <c r="E52" s="76">
        <v>192</v>
      </c>
      <c r="F52" s="76">
        <v>225</v>
      </c>
      <c r="G52" s="76">
        <v>231</v>
      </c>
      <c r="H52" s="76">
        <v>236</v>
      </c>
      <c r="I52" s="76">
        <v>249</v>
      </c>
      <c r="J52" s="76" t="s">
        <v>16</v>
      </c>
      <c r="M52" s="43"/>
    </row>
    <row r="53" spans="1:19" s="2" customFormat="1" ht="15.75" thickBot="1">
      <c r="A53" s="17" t="s">
        <v>534</v>
      </c>
      <c r="B53" s="41" t="s">
        <v>18</v>
      </c>
      <c r="C53" s="76">
        <v>74</v>
      </c>
      <c r="D53" s="76">
        <v>75</v>
      </c>
      <c r="E53" s="76">
        <v>76</v>
      </c>
      <c r="F53" s="76">
        <v>78</v>
      </c>
      <c r="G53" s="76" t="s">
        <v>16</v>
      </c>
    </row>
    <row r="54" spans="1:19" s="2" customFormat="1" ht="15.75" thickBot="1">
      <c r="A54" s="17" t="s">
        <v>539</v>
      </c>
      <c r="B54" s="41" t="s">
        <v>18</v>
      </c>
      <c r="C54" s="76">
        <v>28</v>
      </c>
      <c r="D54" s="76">
        <v>28</v>
      </c>
      <c r="E54" s="76">
        <v>28</v>
      </c>
      <c r="F54" s="76">
        <v>31</v>
      </c>
      <c r="G54" s="76" t="s">
        <v>16</v>
      </c>
    </row>
    <row r="55" spans="1:19" s="2" customFormat="1" ht="14.25">
      <c r="C55" s="38"/>
    </row>
    <row r="56" spans="1:19" s="2" customFormat="1" ht="14.25">
      <c r="A56" s="1" t="s">
        <v>508</v>
      </c>
    </row>
    <row r="57" spans="1:19" s="2" customFormat="1" ht="9.75" customHeight="1" thickBot="1">
      <c r="A57" s="1"/>
    </row>
    <row r="58" spans="1:19" s="2" customFormat="1" ht="15.75" thickBot="1">
      <c r="A58" s="3" t="s">
        <v>0</v>
      </c>
      <c r="B58" s="4" t="s">
        <v>1</v>
      </c>
      <c r="C58" s="4" t="s">
        <v>2</v>
      </c>
      <c r="D58" s="4">
        <v>2</v>
      </c>
      <c r="E58" s="4">
        <v>3</v>
      </c>
      <c r="F58" s="4">
        <v>4</v>
      </c>
      <c r="G58" s="4">
        <v>5</v>
      </c>
      <c r="H58" s="4">
        <v>6</v>
      </c>
      <c r="I58" s="4">
        <v>7</v>
      </c>
      <c r="J58" s="4">
        <v>8</v>
      </c>
      <c r="K58" s="4">
        <v>9</v>
      </c>
      <c r="L58" s="4">
        <v>10</v>
      </c>
      <c r="M58" s="4">
        <v>11</v>
      </c>
      <c r="N58" s="4">
        <v>12</v>
      </c>
      <c r="O58" s="4"/>
      <c r="P58" s="6" t="s">
        <v>289</v>
      </c>
      <c r="Q58" s="39">
        <f>(4364/7853)</f>
        <v>0.55571119317458295</v>
      </c>
    </row>
    <row r="59" spans="1:19" s="2" customFormat="1" ht="15.75" thickBot="1">
      <c r="A59" s="7" t="s">
        <v>410</v>
      </c>
      <c r="B59" s="42" t="s">
        <v>18</v>
      </c>
      <c r="C59" s="9">
        <v>575</v>
      </c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11" t="s">
        <v>4</v>
      </c>
      <c r="P59" s="5"/>
      <c r="Q59" s="6" t="s">
        <v>5</v>
      </c>
      <c r="R59" s="6" t="s">
        <v>6</v>
      </c>
      <c r="S59" s="6" t="s">
        <v>7</v>
      </c>
    </row>
    <row r="60" spans="1:19" s="2" customFormat="1" ht="15.75" thickBot="1">
      <c r="A60" s="7" t="s">
        <v>476</v>
      </c>
      <c r="B60" s="42" t="s">
        <v>18</v>
      </c>
      <c r="C60" s="9">
        <v>552</v>
      </c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11" t="s">
        <v>9</v>
      </c>
      <c r="P60" s="13" t="s">
        <v>8</v>
      </c>
      <c r="Q60" s="14">
        <f>(C61+C62+C64+C67)</f>
        <v>1446</v>
      </c>
      <c r="R60" s="15">
        <f>SUM(Q60/Q65)</f>
        <v>0.34063604240282686</v>
      </c>
      <c r="S60" s="5">
        <v>3</v>
      </c>
    </row>
    <row r="61" spans="1:19" s="2" customFormat="1" ht="15.75" thickBot="1">
      <c r="A61" s="7" t="s">
        <v>540</v>
      </c>
      <c r="B61" s="8" t="s">
        <v>8</v>
      </c>
      <c r="C61" s="9">
        <v>477</v>
      </c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11" t="s">
        <v>12</v>
      </c>
      <c r="P61" s="88" t="s">
        <v>13</v>
      </c>
      <c r="Q61" s="14">
        <v>93</v>
      </c>
      <c r="R61" s="15">
        <f>SUM(Q61/Q65)</f>
        <v>2.1908127208480566E-2</v>
      </c>
      <c r="S61" s="5"/>
    </row>
    <row r="62" spans="1:19" s="2" customFormat="1" ht="15.75" thickBot="1">
      <c r="A62" s="7" t="s">
        <v>397</v>
      </c>
      <c r="B62" s="8" t="s">
        <v>8</v>
      </c>
      <c r="C62" s="76">
        <v>465</v>
      </c>
      <c r="D62" s="9">
        <v>485</v>
      </c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11" t="s">
        <v>10</v>
      </c>
      <c r="P62" s="93" t="s">
        <v>367</v>
      </c>
      <c r="Q62" s="38">
        <v>244</v>
      </c>
      <c r="R62" s="39">
        <f>SUM(Q62/Q65)</f>
        <v>5.7479387514723201E-2</v>
      </c>
      <c r="S62" s="2">
        <v>1</v>
      </c>
    </row>
    <row r="63" spans="1:19" s="2" customFormat="1" ht="15.75" thickBot="1">
      <c r="A63" s="7" t="s">
        <v>566</v>
      </c>
      <c r="B63" s="42" t="s">
        <v>392</v>
      </c>
      <c r="C63" s="76">
        <v>325</v>
      </c>
      <c r="D63" s="76">
        <v>334</v>
      </c>
      <c r="E63" s="76">
        <v>337</v>
      </c>
      <c r="F63" s="76">
        <v>338</v>
      </c>
      <c r="G63" s="76">
        <v>347</v>
      </c>
      <c r="H63" s="76">
        <v>348</v>
      </c>
      <c r="I63" s="76">
        <v>350</v>
      </c>
      <c r="J63" s="76">
        <v>359</v>
      </c>
      <c r="K63" s="76">
        <v>391</v>
      </c>
      <c r="L63" s="76">
        <v>399</v>
      </c>
      <c r="M63" s="76">
        <v>414</v>
      </c>
      <c r="N63" s="9">
        <v>414</v>
      </c>
      <c r="O63" s="11" t="s">
        <v>15</v>
      </c>
      <c r="P63" s="102" t="s">
        <v>522</v>
      </c>
      <c r="Q63" s="38">
        <v>150</v>
      </c>
      <c r="R63" s="39">
        <f>SUM(Q63/Q65)</f>
        <v>3.5335689045936397E-2</v>
      </c>
    </row>
    <row r="64" spans="1:19" s="2" customFormat="1" ht="15.75" thickBot="1">
      <c r="A64" s="7" t="s">
        <v>503</v>
      </c>
      <c r="B64" s="8" t="s">
        <v>8</v>
      </c>
      <c r="C64" s="76">
        <v>307</v>
      </c>
      <c r="D64" s="76">
        <v>308</v>
      </c>
      <c r="E64" s="76">
        <v>315</v>
      </c>
      <c r="F64" s="76">
        <v>316</v>
      </c>
      <c r="G64" s="76">
        <v>317</v>
      </c>
      <c r="H64" s="76">
        <v>318</v>
      </c>
      <c r="I64" s="76">
        <v>320</v>
      </c>
      <c r="J64" s="76">
        <v>320</v>
      </c>
      <c r="K64" s="76">
        <v>345</v>
      </c>
      <c r="L64" s="76">
        <v>356</v>
      </c>
      <c r="M64" s="76">
        <v>394</v>
      </c>
      <c r="N64" s="9">
        <v>395</v>
      </c>
      <c r="O64" s="11" t="s">
        <v>14</v>
      </c>
      <c r="P64" s="26" t="s">
        <v>17</v>
      </c>
      <c r="Q64" s="14">
        <f>(C59+C60+C63+C66+C68+C70+C71+C73+C74)</f>
        <v>2303</v>
      </c>
      <c r="R64" s="15">
        <f>SUM(Q64/Q65)</f>
        <v>0.54252061248527683</v>
      </c>
      <c r="S64" s="5">
        <v>4</v>
      </c>
    </row>
    <row r="65" spans="1:17" s="2" customFormat="1" ht="15.75" thickBot="1">
      <c r="A65" s="7" t="s">
        <v>62</v>
      </c>
      <c r="B65" s="98" t="s">
        <v>367</v>
      </c>
      <c r="C65" s="76">
        <v>244</v>
      </c>
      <c r="D65" s="76">
        <v>252</v>
      </c>
      <c r="E65" s="76">
        <v>263</v>
      </c>
      <c r="F65" s="76">
        <v>265</v>
      </c>
      <c r="G65" s="76">
        <v>275</v>
      </c>
      <c r="H65" s="76">
        <v>279</v>
      </c>
      <c r="I65" s="76">
        <v>285</v>
      </c>
      <c r="J65" s="76">
        <v>296</v>
      </c>
      <c r="K65" s="76">
        <v>309</v>
      </c>
      <c r="L65" s="76">
        <v>330</v>
      </c>
      <c r="M65" s="76">
        <v>363</v>
      </c>
      <c r="N65" s="9">
        <v>364</v>
      </c>
      <c r="O65" s="11" t="s">
        <v>57</v>
      </c>
      <c r="Q65" s="22">
        <v>4245</v>
      </c>
    </row>
    <row r="66" spans="1:17" s="2" customFormat="1" ht="15.75" thickBot="1">
      <c r="A66" s="7" t="s">
        <v>62</v>
      </c>
      <c r="B66" s="107" t="s">
        <v>18</v>
      </c>
      <c r="C66" s="76">
        <v>219</v>
      </c>
      <c r="D66" s="76">
        <v>220</v>
      </c>
      <c r="E66" s="76">
        <v>255</v>
      </c>
      <c r="F66" s="76">
        <v>255</v>
      </c>
      <c r="G66" s="76">
        <v>255</v>
      </c>
      <c r="H66" s="76">
        <v>266</v>
      </c>
      <c r="I66" s="76">
        <v>300</v>
      </c>
      <c r="J66" s="76">
        <v>301</v>
      </c>
      <c r="K66" s="76">
        <v>305</v>
      </c>
      <c r="L66" s="76">
        <v>306</v>
      </c>
      <c r="M66" s="76">
        <v>312</v>
      </c>
      <c r="N66" s="9">
        <v>315</v>
      </c>
      <c r="O66" s="11" t="s">
        <v>452</v>
      </c>
    </row>
    <row r="67" spans="1:17" s="2" customFormat="1" ht="15.75" thickBot="1">
      <c r="A67" s="17" t="s">
        <v>444</v>
      </c>
      <c r="B67" s="23" t="s">
        <v>8</v>
      </c>
      <c r="C67" s="76">
        <v>197</v>
      </c>
      <c r="D67" s="76">
        <v>241</v>
      </c>
      <c r="E67" s="76">
        <v>242</v>
      </c>
      <c r="F67" s="76">
        <v>244</v>
      </c>
      <c r="G67" s="76">
        <v>248</v>
      </c>
      <c r="H67" s="76">
        <v>248</v>
      </c>
      <c r="I67" s="76">
        <v>248</v>
      </c>
      <c r="J67" s="76">
        <v>266</v>
      </c>
      <c r="K67" s="76">
        <v>268</v>
      </c>
      <c r="L67" s="76">
        <v>281</v>
      </c>
      <c r="M67" s="76" t="s">
        <v>16</v>
      </c>
      <c r="P67" s="15"/>
      <c r="Q67" s="5"/>
    </row>
    <row r="68" spans="1:17" s="2" customFormat="1" ht="15.75" thickBot="1">
      <c r="A68" s="17" t="s">
        <v>542</v>
      </c>
      <c r="B68" s="41" t="s">
        <v>18</v>
      </c>
      <c r="C68" s="76">
        <v>176</v>
      </c>
      <c r="D68" s="76">
        <v>183</v>
      </c>
      <c r="E68" s="76">
        <v>184</v>
      </c>
      <c r="F68" s="76">
        <v>187</v>
      </c>
      <c r="G68" s="76">
        <v>190</v>
      </c>
      <c r="H68" s="76">
        <v>192</v>
      </c>
      <c r="I68" s="76">
        <v>199</v>
      </c>
      <c r="J68" s="76">
        <v>210</v>
      </c>
      <c r="K68" s="76">
        <v>213</v>
      </c>
      <c r="L68" s="76" t="s">
        <v>16</v>
      </c>
    </row>
    <row r="69" spans="1:17" s="2" customFormat="1" ht="15.75" thickBot="1">
      <c r="A69" s="17" t="s">
        <v>580</v>
      </c>
      <c r="B69" s="101" t="s">
        <v>521</v>
      </c>
      <c r="C69" s="76">
        <v>159</v>
      </c>
      <c r="D69" s="76">
        <v>161</v>
      </c>
      <c r="E69" s="76">
        <v>169</v>
      </c>
      <c r="F69" s="76">
        <v>169</v>
      </c>
      <c r="G69" s="76">
        <v>173</v>
      </c>
      <c r="H69" s="76">
        <v>175</v>
      </c>
      <c r="I69" s="76">
        <v>180</v>
      </c>
      <c r="J69" s="76">
        <v>181</v>
      </c>
      <c r="K69" s="76" t="s">
        <v>16</v>
      </c>
    </row>
    <row r="70" spans="1:17" s="2" customFormat="1" ht="15.75" thickBot="1">
      <c r="A70" s="17" t="s">
        <v>424</v>
      </c>
      <c r="B70" s="41" t="s">
        <v>18</v>
      </c>
      <c r="C70" s="76">
        <v>158</v>
      </c>
      <c r="D70" s="76">
        <v>163</v>
      </c>
      <c r="E70" s="76">
        <v>166</v>
      </c>
      <c r="F70" s="76">
        <v>169</v>
      </c>
      <c r="G70" s="76">
        <v>187</v>
      </c>
      <c r="H70" s="76">
        <v>187</v>
      </c>
      <c r="I70" s="76">
        <v>188</v>
      </c>
      <c r="J70" s="76">
        <v>240</v>
      </c>
      <c r="K70" s="76">
        <v>244</v>
      </c>
      <c r="L70" s="76">
        <v>287</v>
      </c>
      <c r="M70" s="76">
        <v>313</v>
      </c>
      <c r="N70" s="76">
        <v>313</v>
      </c>
      <c r="O70" s="11"/>
    </row>
    <row r="71" spans="1:17" s="2" customFormat="1" ht="15.75" thickBot="1">
      <c r="A71" s="17" t="s">
        <v>543</v>
      </c>
      <c r="B71" s="41" t="s">
        <v>18</v>
      </c>
      <c r="C71" s="76">
        <v>127</v>
      </c>
      <c r="D71" s="76">
        <v>131</v>
      </c>
      <c r="E71" s="76">
        <v>132</v>
      </c>
      <c r="F71" s="76">
        <v>133</v>
      </c>
      <c r="G71" s="76">
        <v>147</v>
      </c>
      <c r="H71" s="76">
        <v>147</v>
      </c>
      <c r="I71" s="76">
        <v>147</v>
      </c>
      <c r="J71" s="76" t="s">
        <v>16</v>
      </c>
    </row>
    <row r="72" spans="1:17" s="2" customFormat="1" ht="15.75" thickBot="1">
      <c r="A72" s="17" t="s">
        <v>541</v>
      </c>
      <c r="B72" s="87" t="s">
        <v>13</v>
      </c>
      <c r="C72" s="76">
        <v>93</v>
      </c>
      <c r="D72" s="76">
        <v>94</v>
      </c>
      <c r="E72" s="76">
        <v>100</v>
      </c>
      <c r="F72" s="76">
        <v>100</v>
      </c>
      <c r="G72" s="76">
        <v>100</v>
      </c>
      <c r="H72" s="76">
        <v>140</v>
      </c>
      <c r="I72" s="76" t="s">
        <v>16</v>
      </c>
    </row>
    <row r="73" spans="1:17" s="2" customFormat="1" ht="15.75" thickBot="1">
      <c r="A73" s="17" t="s">
        <v>95</v>
      </c>
      <c r="B73" s="41" t="s">
        <v>18</v>
      </c>
      <c r="C73" s="76">
        <v>89</v>
      </c>
      <c r="D73" s="76">
        <v>89</v>
      </c>
      <c r="E73" s="76">
        <v>93</v>
      </c>
      <c r="F73" s="76">
        <v>93</v>
      </c>
      <c r="G73" s="76">
        <v>93</v>
      </c>
      <c r="H73" s="76" t="s">
        <v>16</v>
      </c>
      <c r="L73" s="38"/>
    </row>
    <row r="74" spans="1:17" s="2" customFormat="1" ht="15.75" thickBot="1">
      <c r="A74" s="17" t="s">
        <v>544</v>
      </c>
      <c r="B74" s="41" t="s">
        <v>18</v>
      </c>
      <c r="C74" s="76">
        <v>82</v>
      </c>
      <c r="D74" s="76">
        <v>83</v>
      </c>
      <c r="E74" s="76">
        <v>83</v>
      </c>
      <c r="F74" s="76">
        <v>83</v>
      </c>
      <c r="G74" s="76" t="s">
        <v>16</v>
      </c>
      <c r="M74" s="22"/>
    </row>
    <row r="75" spans="1:17" s="2" customFormat="1" ht="15">
      <c r="A75" s="40"/>
      <c r="C75" s="38"/>
      <c r="D75" s="38"/>
    </row>
    <row r="76" spans="1:17">
      <c r="A76" s="27"/>
      <c r="B76" s="27" t="s">
        <v>19</v>
      </c>
      <c r="C76" s="28" t="s">
        <v>8</v>
      </c>
      <c r="D76" s="29" t="s">
        <v>509</v>
      </c>
      <c r="E76" s="91" t="s">
        <v>13</v>
      </c>
      <c r="F76" s="73" t="s">
        <v>367</v>
      </c>
      <c r="G76" s="108" t="s">
        <v>522</v>
      </c>
      <c r="H76" s="27" t="s">
        <v>17</v>
      </c>
      <c r="I76" s="73"/>
    </row>
    <row r="77" spans="1:17" ht="14.25">
      <c r="A77" s="32" t="s">
        <v>5</v>
      </c>
      <c r="B77" s="33">
        <f>SUM(Q65+N46+P26+L9)</f>
        <v>18796</v>
      </c>
      <c r="C77" s="34">
        <f>SUM(Q60+N41+P20+L5)</f>
        <v>5130</v>
      </c>
      <c r="D77" s="34">
        <f>(N42+P21+L6)</f>
        <v>1404</v>
      </c>
      <c r="E77" s="34">
        <f>(Q61+P22)</f>
        <v>324</v>
      </c>
      <c r="F77" s="34">
        <f>(Q62+N43+P23+L7)</f>
        <v>1736</v>
      </c>
      <c r="G77" s="34">
        <f>(Q63+N44+P24)</f>
        <v>1673</v>
      </c>
      <c r="H77" s="34">
        <f>SUM(N45+P25+Q64+L8)</f>
        <v>8520</v>
      </c>
      <c r="I77" s="34"/>
    </row>
    <row r="78" spans="1:17" ht="14.25">
      <c r="A78" s="32" t="s">
        <v>6</v>
      </c>
      <c r="B78" s="35">
        <v>1</v>
      </c>
      <c r="C78" s="36">
        <f t="shared" ref="C78:H78" si="0">SUM(C77/$B$77)</f>
        <v>0.2729304107256863</v>
      </c>
      <c r="D78" s="36">
        <f t="shared" si="0"/>
        <v>7.469674398808257E-2</v>
      </c>
      <c r="E78" s="36">
        <f t="shared" si="0"/>
        <v>1.7237710151095979E-2</v>
      </c>
      <c r="F78" s="36">
        <f t="shared" si="0"/>
        <v>9.2360076612045122E-2</v>
      </c>
      <c r="G78" s="36">
        <f t="shared" si="0"/>
        <v>8.9008299638220892E-2</v>
      </c>
      <c r="H78" s="36">
        <f t="shared" si="0"/>
        <v>0.45328793360289421</v>
      </c>
      <c r="I78" s="36"/>
    </row>
    <row r="79" spans="1:17" ht="14.25">
      <c r="A79" s="32" t="s">
        <v>7</v>
      </c>
      <c r="B79" s="27">
        <v>32</v>
      </c>
      <c r="C79">
        <v>10</v>
      </c>
      <c r="D79">
        <v>2</v>
      </c>
      <c r="E79">
        <v>0</v>
      </c>
      <c r="F79">
        <v>4</v>
      </c>
      <c r="G79">
        <v>2</v>
      </c>
      <c r="H79">
        <v>14</v>
      </c>
    </row>
  </sheetData>
  <sortState ref="A59:C74">
    <sortCondition descending="1" ref="C59:C74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90"/>
  <sheetViews>
    <sheetView workbookViewId="0">
      <selection activeCell="P1" sqref="P1"/>
    </sheetView>
  </sheetViews>
  <sheetFormatPr defaultRowHeight="12.75"/>
  <cols>
    <col min="1" max="1" width="23.5703125" customWidth="1"/>
    <col min="6" max="6" width="9" customWidth="1"/>
    <col min="13" max="13" width="9.42578125" bestFit="1" customWidth="1"/>
  </cols>
  <sheetData>
    <row r="1" spans="1:17" s="2" customFormat="1" ht="14.25">
      <c r="A1" s="1" t="s">
        <v>429</v>
      </c>
    </row>
    <row r="2" spans="1:17" s="2" customFormat="1" ht="9" customHeight="1" thickBot="1">
      <c r="A2" s="1"/>
    </row>
    <row r="3" spans="1:17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289</v>
      </c>
      <c r="O3" s="39">
        <f>(5631/6698)</f>
        <v>0.84069871603463719</v>
      </c>
    </row>
    <row r="4" spans="1:17" s="2" customFormat="1" ht="15.75" thickBot="1">
      <c r="A4" s="7" t="s">
        <v>363</v>
      </c>
      <c r="B4" s="42" t="s">
        <v>18</v>
      </c>
      <c r="C4" s="76">
        <v>588</v>
      </c>
      <c r="D4" s="76">
        <v>607</v>
      </c>
      <c r="E4" s="76">
        <v>616</v>
      </c>
      <c r="F4" s="76">
        <v>622</v>
      </c>
      <c r="G4" s="76">
        <v>642</v>
      </c>
      <c r="H4" s="76">
        <v>660</v>
      </c>
      <c r="I4" s="76">
        <v>664</v>
      </c>
      <c r="J4" s="76">
        <v>666</v>
      </c>
      <c r="K4" s="9">
        <v>690</v>
      </c>
      <c r="L4" s="76"/>
      <c r="M4" s="75" t="s">
        <v>9</v>
      </c>
      <c r="N4" s="5"/>
      <c r="O4" s="6" t="s">
        <v>5</v>
      </c>
      <c r="P4" s="6" t="s">
        <v>6</v>
      </c>
      <c r="Q4" s="6" t="s">
        <v>7</v>
      </c>
    </row>
    <row r="5" spans="1:17" s="2" customFormat="1" ht="15.75" thickBot="1">
      <c r="A5" s="7" t="s">
        <v>359</v>
      </c>
      <c r="B5" s="42" t="s">
        <v>18</v>
      </c>
      <c r="C5" s="76">
        <v>546</v>
      </c>
      <c r="D5" s="76">
        <v>597</v>
      </c>
      <c r="E5" s="76">
        <v>598</v>
      </c>
      <c r="F5" s="76">
        <v>637</v>
      </c>
      <c r="G5" s="76">
        <v>641</v>
      </c>
      <c r="H5" s="76">
        <v>665</v>
      </c>
      <c r="I5" s="9">
        <v>746</v>
      </c>
      <c r="J5" s="76"/>
      <c r="K5" s="76"/>
      <c r="L5" s="76"/>
      <c r="M5" s="75" t="s">
        <v>4</v>
      </c>
      <c r="N5" s="13" t="s">
        <v>8</v>
      </c>
      <c r="O5" s="14">
        <f>(C7+C9+C10+C11+C13+C14+C17+C18)</f>
        <v>2507</v>
      </c>
      <c r="P5" s="15">
        <f>SUM(O5/O8)</f>
        <v>0.45631598107025845</v>
      </c>
      <c r="Q5" s="5">
        <v>3</v>
      </c>
    </row>
    <row r="6" spans="1:17" s="2" customFormat="1" ht="15.75" thickBot="1">
      <c r="A6" s="7" t="s">
        <v>478</v>
      </c>
      <c r="B6" s="20" t="s">
        <v>3</v>
      </c>
      <c r="C6" s="76">
        <v>487</v>
      </c>
      <c r="D6" s="76">
        <v>536</v>
      </c>
      <c r="E6" s="76">
        <v>538</v>
      </c>
      <c r="F6" s="76">
        <v>554</v>
      </c>
      <c r="G6" s="76">
        <v>568</v>
      </c>
      <c r="H6" s="76">
        <v>577</v>
      </c>
      <c r="I6" s="76">
        <v>593</v>
      </c>
      <c r="J6" s="76">
        <v>598</v>
      </c>
      <c r="K6" s="76">
        <v>603</v>
      </c>
      <c r="L6" s="9">
        <v>641</v>
      </c>
      <c r="M6" s="75" t="s">
        <v>15</v>
      </c>
      <c r="N6" s="16" t="s">
        <v>3</v>
      </c>
      <c r="O6" s="14">
        <f>(C6+C8+C12+C15+C19)</f>
        <v>1603</v>
      </c>
      <c r="P6" s="15">
        <f>SUM(O6/O8)</f>
        <v>0.29177284310156537</v>
      </c>
      <c r="Q6" s="5">
        <v>2</v>
      </c>
    </row>
    <row r="7" spans="1:17" s="2" customFormat="1" ht="15.75" thickBot="1">
      <c r="A7" s="7" t="s">
        <v>514</v>
      </c>
      <c r="B7" s="8" t="s">
        <v>8</v>
      </c>
      <c r="C7" s="76">
        <v>432</v>
      </c>
      <c r="D7" s="76">
        <v>433</v>
      </c>
      <c r="E7" s="76">
        <v>467</v>
      </c>
      <c r="F7" s="76">
        <v>468</v>
      </c>
      <c r="G7" s="76">
        <v>480</v>
      </c>
      <c r="H7" s="76">
        <v>490</v>
      </c>
      <c r="I7" s="76">
        <v>500</v>
      </c>
      <c r="J7" s="76">
        <v>500</v>
      </c>
      <c r="K7" s="76">
        <v>539</v>
      </c>
      <c r="L7" s="9">
        <v>596</v>
      </c>
      <c r="M7" s="75" t="s">
        <v>57</v>
      </c>
      <c r="N7" s="26" t="s">
        <v>17</v>
      </c>
      <c r="O7" s="38">
        <f>(C4+C5+C16)</f>
        <v>1384</v>
      </c>
      <c r="P7" s="39">
        <f>SUM(O7/O8)</f>
        <v>0.25191117582817618</v>
      </c>
      <c r="Q7" s="2">
        <v>2</v>
      </c>
    </row>
    <row r="8" spans="1:17" s="2" customFormat="1" ht="15.75" thickBot="1">
      <c r="A8" s="7" t="s">
        <v>426</v>
      </c>
      <c r="B8" s="20" t="s">
        <v>3</v>
      </c>
      <c r="C8" s="76">
        <v>377</v>
      </c>
      <c r="D8" s="76">
        <v>379</v>
      </c>
      <c r="E8" s="76">
        <v>379</v>
      </c>
      <c r="F8" s="76">
        <v>379</v>
      </c>
      <c r="G8" s="76">
        <v>491</v>
      </c>
      <c r="H8" s="76">
        <v>493</v>
      </c>
      <c r="I8" s="76">
        <v>495</v>
      </c>
      <c r="J8" s="76">
        <v>499</v>
      </c>
      <c r="K8" s="76">
        <v>570</v>
      </c>
      <c r="L8" s="9">
        <v>770</v>
      </c>
      <c r="M8" s="75" t="s">
        <v>12</v>
      </c>
      <c r="O8" s="22">
        <v>5494</v>
      </c>
    </row>
    <row r="9" spans="1:17" s="2" customFormat="1" ht="15.75" thickBot="1">
      <c r="A9" s="7" t="s">
        <v>431</v>
      </c>
      <c r="B9" s="8" t="s">
        <v>8</v>
      </c>
      <c r="C9" s="76">
        <v>354</v>
      </c>
      <c r="D9" s="76">
        <v>354</v>
      </c>
      <c r="E9" s="76">
        <v>356</v>
      </c>
      <c r="F9" s="76">
        <v>358</v>
      </c>
      <c r="G9" s="76">
        <v>361</v>
      </c>
      <c r="H9" s="76">
        <v>394</v>
      </c>
      <c r="I9" s="76">
        <v>432</v>
      </c>
      <c r="J9" s="76">
        <v>437</v>
      </c>
      <c r="K9" s="76">
        <v>624</v>
      </c>
      <c r="L9" s="9">
        <v>633</v>
      </c>
      <c r="M9" s="75" t="s">
        <v>14</v>
      </c>
    </row>
    <row r="10" spans="1:17" s="2" customFormat="1" ht="15.75" thickBot="1">
      <c r="A10" s="7" t="s">
        <v>427</v>
      </c>
      <c r="B10" s="8" t="s">
        <v>8</v>
      </c>
      <c r="C10" s="76">
        <v>344</v>
      </c>
      <c r="D10" s="76">
        <v>344</v>
      </c>
      <c r="E10" s="76">
        <v>345</v>
      </c>
      <c r="F10" s="76">
        <v>417</v>
      </c>
      <c r="G10" s="76">
        <v>417</v>
      </c>
      <c r="H10" s="76">
        <v>532</v>
      </c>
      <c r="I10" s="76">
        <v>653</v>
      </c>
      <c r="J10" s="76">
        <v>659</v>
      </c>
      <c r="K10" s="76">
        <v>675</v>
      </c>
      <c r="L10" s="9">
        <v>678</v>
      </c>
      <c r="M10" s="9" t="s">
        <v>10</v>
      </c>
    </row>
    <row r="11" spans="1:17" s="2" customFormat="1" ht="15.75" thickBot="1">
      <c r="A11" s="17" t="s">
        <v>425</v>
      </c>
      <c r="B11" s="23" t="s">
        <v>8</v>
      </c>
      <c r="C11" s="76">
        <v>336</v>
      </c>
      <c r="D11" s="76">
        <v>336</v>
      </c>
      <c r="E11" s="76">
        <v>454</v>
      </c>
      <c r="F11" s="76">
        <v>454</v>
      </c>
      <c r="G11" s="76">
        <v>454</v>
      </c>
      <c r="H11" s="76">
        <v>458</v>
      </c>
      <c r="I11" s="76">
        <v>467</v>
      </c>
      <c r="J11" s="76">
        <v>468</v>
      </c>
      <c r="K11" s="76">
        <v>471</v>
      </c>
      <c r="L11" s="76">
        <v>504</v>
      </c>
      <c r="M11" s="75"/>
    </row>
    <row r="12" spans="1:17" s="2" customFormat="1" ht="15.75" thickBot="1">
      <c r="A12" s="17" t="s">
        <v>434</v>
      </c>
      <c r="B12" s="25" t="s">
        <v>3</v>
      </c>
      <c r="C12" s="76">
        <v>312</v>
      </c>
      <c r="D12" s="76">
        <v>317</v>
      </c>
      <c r="E12" s="76">
        <v>385</v>
      </c>
      <c r="F12" s="76">
        <v>389</v>
      </c>
      <c r="G12" s="76">
        <v>405</v>
      </c>
      <c r="H12" s="76">
        <v>409</v>
      </c>
      <c r="I12" s="76">
        <v>418</v>
      </c>
      <c r="J12" s="76">
        <v>420</v>
      </c>
      <c r="K12" s="76">
        <v>424</v>
      </c>
      <c r="L12" s="76" t="s">
        <v>16</v>
      </c>
    </row>
    <row r="13" spans="1:17" s="2" customFormat="1" ht="15.75" thickBot="1">
      <c r="A13" s="17" t="s">
        <v>436</v>
      </c>
      <c r="B13" s="23" t="s">
        <v>8</v>
      </c>
      <c r="C13" s="76">
        <v>291</v>
      </c>
      <c r="D13" s="76">
        <v>295</v>
      </c>
      <c r="E13" s="76">
        <v>296</v>
      </c>
      <c r="F13" s="76">
        <v>297</v>
      </c>
      <c r="G13" s="76">
        <v>370</v>
      </c>
      <c r="H13" s="76">
        <v>389</v>
      </c>
      <c r="I13" s="76">
        <v>405</v>
      </c>
      <c r="J13" s="76">
        <v>410</v>
      </c>
      <c r="K13" s="76" t="s">
        <v>16</v>
      </c>
    </row>
    <row r="14" spans="1:17" s="2" customFormat="1" ht="15.75" thickBot="1">
      <c r="A14" s="17" t="s">
        <v>428</v>
      </c>
      <c r="B14" s="23" t="s">
        <v>8</v>
      </c>
      <c r="C14" s="76">
        <v>258</v>
      </c>
      <c r="D14" s="76">
        <v>258</v>
      </c>
      <c r="E14" s="76">
        <v>259</v>
      </c>
      <c r="F14" s="76">
        <v>271</v>
      </c>
      <c r="G14" s="76">
        <v>272</v>
      </c>
      <c r="H14" s="76" t="s">
        <v>16</v>
      </c>
      <c r="I14" s="38"/>
      <c r="J14" s="38"/>
    </row>
    <row r="15" spans="1:17" s="2" customFormat="1" ht="15.75" thickBot="1">
      <c r="A15" s="17" t="s">
        <v>435</v>
      </c>
      <c r="B15" s="25" t="s">
        <v>3</v>
      </c>
      <c r="C15" s="76">
        <v>255</v>
      </c>
      <c r="D15" s="76">
        <v>269</v>
      </c>
      <c r="E15" s="76">
        <v>270</v>
      </c>
      <c r="F15" s="76">
        <v>270</v>
      </c>
      <c r="G15" s="76" t="s">
        <v>16</v>
      </c>
      <c r="H15" s="38"/>
      <c r="I15" s="38"/>
    </row>
    <row r="16" spans="1:17" s="2" customFormat="1" ht="15.75" thickBot="1">
      <c r="A16" s="17" t="s">
        <v>589</v>
      </c>
      <c r="B16" s="41" t="s">
        <v>18</v>
      </c>
      <c r="C16" s="76">
        <v>250</v>
      </c>
      <c r="D16" s="76">
        <v>251</v>
      </c>
      <c r="E16" s="76" t="s">
        <v>16</v>
      </c>
      <c r="G16" s="38"/>
      <c r="H16" s="38"/>
      <c r="I16" s="38"/>
    </row>
    <row r="17" spans="1:21" s="2" customFormat="1" ht="15.75" thickBot="1">
      <c r="A17" s="17" t="s">
        <v>430</v>
      </c>
      <c r="B17" s="23" t="s">
        <v>8</v>
      </c>
      <c r="C17" s="76">
        <v>249</v>
      </c>
      <c r="D17" s="76">
        <v>253</v>
      </c>
      <c r="E17" s="76">
        <v>254</v>
      </c>
      <c r="F17" s="76" t="s">
        <v>16</v>
      </c>
      <c r="G17" s="38"/>
      <c r="H17" s="38"/>
      <c r="I17" s="38"/>
      <c r="J17" s="38"/>
    </row>
    <row r="18" spans="1:21" s="2" customFormat="1" ht="15.75" thickBot="1">
      <c r="A18" s="17" t="s">
        <v>432</v>
      </c>
      <c r="B18" s="23" t="s">
        <v>8</v>
      </c>
      <c r="C18" s="76">
        <v>243</v>
      </c>
      <c r="D18" s="76">
        <v>254</v>
      </c>
      <c r="E18" s="76">
        <v>256</v>
      </c>
      <c r="F18" s="76">
        <v>351</v>
      </c>
      <c r="G18" s="76">
        <v>351</v>
      </c>
      <c r="H18" s="76">
        <v>371</v>
      </c>
      <c r="I18" s="76" t="s">
        <v>16</v>
      </c>
    </row>
    <row r="19" spans="1:21" s="2" customFormat="1" ht="15.75" thickBot="1">
      <c r="A19" s="17" t="s">
        <v>433</v>
      </c>
      <c r="B19" s="25" t="s">
        <v>3</v>
      </c>
      <c r="C19" s="76">
        <v>172</v>
      </c>
      <c r="D19" s="76" t="s">
        <v>16</v>
      </c>
      <c r="E19" s="38"/>
      <c r="F19" s="38"/>
      <c r="G19" s="38"/>
      <c r="H19" s="38"/>
      <c r="I19" s="38"/>
    </row>
    <row r="20" spans="1:21" s="2" customFormat="1" ht="14.25">
      <c r="C20" s="38"/>
    </row>
    <row r="21" spans="1:21" s="2" customFormat="1" ht="14.25">
      <c r="A21" s="1" t="s">
        <v>437</v>
      </c>
    </row>
    <row r="22" spans="1:21" s="2" customFormat="1" ht="9.75" customHeight="1" thickBot="1">
      <c r="A22" s="1"/>
    </row>
    <row r="23" spans="1:21" s="2" customFormat="1" ht="15.75" thickBot="1">
      <c r="A23" s="3" t="s">
        <v>0</v>
      </c>
      <c r="B23" s="4" t="s">
        <v>1</v>
      </c>
      <c r="C23" s="4" t="s">
        <v>2</v>
      </c>
      <c r="D23" s="4">
        <v>2</v>
      </c>
      <c r="E23" s="4">
        <v>3</v>
      </c>
      <c r="F23" s="4">
        <v>4</v>
      </c>
      <c r="G23" s="4">
        <v>5</v>
      </c>
      <c r="H23" s="4">
        <v>6</v>
      </c>
      <c r="I23" s="4">
        <v>7</v>
      </c>
      <c r="J23" s="4">
        <v>8</v>
      </c>
      <c r="K23" s="4">
        <v>9</v>
      </c>
      <c r="L23" s="4">
        <v>10</v>
      </c>
      <c r="M23" s="4">
        <v>11</v>
      </c>
      <c r="N23" s="4">
        <v>12</v>
      </c>
      <c r="O23" s="4">
        <v>13</v>
      </c>
      <c r="P23" s="4">
        <v>14</v>
      </c>
      <c r="Q23" s="4"/>
      <c r="R23" s="6" t="s">
        <v>289</v>
      </c>
      <c r="S23" s="39">
        <f>(6629/8297)</f>
        <v>0.79896348077618418</v>
      </c>
    </row>
    <row r="24" spans="1:21" s="2" customFormat="1" ht="15.75" thickBot="1">
      <c r="A24" s="7" t="s">
        <v>438</v>
      </c>
      <c r="B24" s="8" t="s">
        <v>8</v>
      </c>
      <c r="C24" s="76">
        <v>699</v>
      </c>
      <c r="D24" s="76">
        <v>715</v>
      </c>
      <c r="E24" s="76">
        <v>715</v>
      </c>
      <c r="F24" s="9">
        <v>822</v>
      </c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5" t="s">
        <v>4</v>
      </c>
      <c r="R24" s="5"/>
      <c r="S24" s="6" t="s">
        <v>5</v>
      </c>
      <c r="T24" s="6" t="s">
        <v>6</v>
      </c>
      <c r="U24" s="6" t="s">
        <v>7</v>
      </c>
    </row>
    <row r="25" spans="1:21" s="2" customFormat="1" ht="15.75" thickBot="1">
      <c r="A25" s="7" t="s">
        <v>445</v>
      </c>
      <c r="B25" s="20" t="s">
        <v>3</v>
      </c>
      <c r="C25" s="76">
        <v>609</v>
      </c>
      <c r="D25" s="76">
        <v>621</v>
      </c>
      <c r="E25" s="76">
        <v>683</v>
      </c>
      <c r="F25" s="76">
        <v>690</v>
      </c>
      <c r="G25" s="76">
        <v>690</v>
      </c>
      <c r="H25" s="76">
        <v>693</v>
      </c>
      <c r="I25" s="76">
        <v>693</v>
      </c>
      <c r="J25" s="9">
        <v>818</v>
      </c>
      <c r="K25" s="76"/>
      <c r="L25" s="76"/>
      <c r="M25" s="76"/>
      <c r="N25" s="76"/>
      <c r="O25" s="76"/>
      <c r="P25" s="76"/>
      <c r="Q25" s="75" t="s">
        <v>12</v>
      </c>
      <c r="R25" s="13" t="s">
        <v>8</v>
      </c>
      <c r="S25" s="14">
        <f>(C24+C26+C30+C32+C33+C38+C37+C39)</f>
        <v>3068</v>
      </c>
      <c r="T25" s="15">
        <f>SUM(S25/S28)</f>
        <v>0.47514325538175622</v>
      </c>
      <c r="U25" s="5">
        <v>4</v>
      </c>
    </row>
    <row r="26" spans="1:21" s="2" customFormat="1" ht="15.75" thickBot="1">
      <c r="A26" s="7" t="s">
        <v>443</v>
      </c>
      <c r="B26" s="8" t="s">
        <v>8</v>
      </c>
      <c r="C26" s="76">
        <v>564</v>
      </c>
      <c r="D26" s="76">
        <v>570</v>
      </c>
      <c r="E26" s="76">
        <v>572</v>
      </c>
      <c r="F26" s="76">
        <v>599</v>
      </c>
      <c r="G26" s="76">
        <v>625</v>
      </c>
      <c r="H26" s="9">
        <v>759</v>
      </c>
      <c r="I26" s="76"/>
      <c r="J26" s="76"/>
      <c r="K26" s="76"/>
      <c r="L26" s="76"/>
      <c r="M26" s="76"/>
      <c r="N26" s="76"/>
      <c r="O26" s="76"/>
      <c r="P26" s="76"/>
      <c r="Q26" s="75" t="s">
        <v>9</v>
      </c>
      <c r="R26" s="16" t="s">
        <v>3</v>
      </c>
      <c r="S26" s="14">
        <f>(C25+C27+C28+C31+C35+C36+C40)</f>
        <v>2611</v>
      </c>
      <c r="T26" s="15">
        <f>SUM(S26/S28)</f>
        <v>0.40436735326002787</v>
      </c>
      <c r="U26" s="5">
        <v>3</v>
      </c>
    </row>
    <row r="27" spans="1:21" s="2" customFormat="1" ht="15.75" thickBot="1">
      <c r="A27" s="7" t="s">
        <v>595</v>
      </c>
      <c r="B27" s="20" t="s">
        <v>3</v>
      </c>
      <c r="C27" s="76">
        <v>457</v>
      </c>
      <c r="D27" s="76">
        <v>462</v>
      </c>
      <c r="E27" s="76">
        <v>518</v>
      </c>
      <c r="F27" s="76">
        <v>522</v>
      </c>
      <c r="G27" s="76">
        <v>522</v>
      </c>
      <c r="H27" s="76">
        <v>528</v>
      </c>
      <c r="I27" s="76">
        <v>529</v>
      </c>
      <c r="J27" s="76">
        <v>649</v>
      </c>
      <c r="K27" s="76">
        <v>700</v>
      </c>
      <c r="L27" s="76">
        <v>703</v>
      </c>
      <c r="M27" s="76">
        <v>707</v>
      </c>
      <c r="N27" s="9">
        <v>725</v>
      </c>
      <c r="O27" s="76"/>
      <c r="P27" s="76"/>
      <c r="Q27" s="75" t="s">
        <v>15</v>
      </c>
      <c r="R27" s="26" t="s">
        <v>17</v>
      </c>
      <c r="S27" s="14">
        <f>(C29+C34+C41)</f>
        <v>778</v>
      </c>
      <c r="T27" s="15">
        <f>SUM(S27/S28)</f>
        <v>0.12048939135821589</v>
      </c>
      <c r="U27" s="5">
        <v>1</v>
      </c>
    </row>
    <row r="28" spans="1:21" s="2" customFormat="1" ht="15.75" thickBot="1">
      <c r="A28" s="17" t="s">
        <v>448</v>
      </c>
      <c r="B28" s="25" t="s">
        <v>3</v>
      </c>
      <c r="C28" s="76">
        <v>399</v>
      </c>
      <c r="D28" s="76">
        <v>400</v>
      </c>
      <c r="E28" s="76">
        <v>403</v>
      </c>
      <c r="F28" s="76">
        <v>409</v>
      </c>
      <c r="G28" s="76">
        <v>412</v>
      </c>
      <c r="H28" s="76">
        <v>414</v>
      </c>
      <c r="I28" s="76">
        <v>414</v>
      </c>
      <c r="J28" s="76">
        <v>420</v>
      </c>
      <c r="K28" s="76">
        <v>425</v>
      </c>
      <c r="L28" s="76">
        <v>426</v>
      </c>
      <c r="M28" s="76">
        <v>426</v>
      </c>
      <c r="N28" s="76">
        <v>427</v>
      </c>
      <c r="O28" s="76">
        <v>427</v>
      </c>
      <c r="P28" s="76" t="s">
        <v>16</v>
      </c>
      <c r="S28" s="22">
        <v>6457</v>
      </c>
    </row>
    <row r="29" spans="1:21" s="2" customFormat="1" ht="15.75" thickBot="1">
      <c r="A29" s="7" t="s">
        <v>439</v>
      </c>
      <c r="B29" s="42" t="s">
        <v>18</v>
      </c>
      <c r="C29" s="76">
        <v>398</v>
      </c>
      <c r="D29" s="76">
        <v>399</v>
      </c>
      <c r="E29" s="76">
        <v>400</v>
      </c>
      <c r="F29" s="76">
        <v>402</v>
      </c>
      <c r="G29" s="76">
        <v>405</v>
      </c>
      <c r="H29" s="76">
        <v>406</v>
      </c>
      <c r="I29" s="76">
        <v>406</v>
      </c>
      <c r="J29" s="76">
        <v>406</v>
      </c>
      <c r="K29" s="76">
        <v>406</v>
      </c>
      <c r="L29" s="76">
        <v>629</v>
      </c>
      <c r="M29" s="76">
        <v>631</v>
      </c>
      <c r="N29" s="76">
        <v>633</v>
      </c>
      <c r="O29" s="76">
        <v>633</v>
      </c>
      <c r="P29" s="9">
        <v>655</v>
      </c>
      <c r="Q29" s="9" t="s">
        <v>14</v>
      </c>
    </row>
    <row r="30" spans="1:21" s="2" customFormat="1" ht="15.75" thickBot="1">
      <c r="A30" s="17" t="s">
        <v>450</v>
      </c>
      <c r="B30" s="23" t="s">
        <v>8</v>
      </c>
      <c r="C30" s="76">
        <v>382</v>
      </c>
      <c r="D30" s="76">
        <v>383</v>
      </c>
      <c r="E30" s="76">
        <v>385</v>
      </c>
      <c r="F30" s="76">
        <v>387</v>
      </c>
      <c r="G30" s="76">
        <v>389</v>
      </c>
      <c r="H30" s="76">
        <v>392</v>
      </c>
      <c r="I30" s="76">
        <v>392</v>
      </c>
      <c r="J30" s="76">
        <v>409</v>
      </c>
      <c r="K30" s="76">
        <v>411</v>
      </c>
      <c r="L30" s="76">
        <v>412</v>
      </c>
      <c r="M30" s="76">
        <v>422</v>
      </c>
      <c r="N30" s="76" t="s">
        <v>16</v>
      </c>
    </row>
    <row r="31" spans="1:21" s="2" customFormat="1" ht="15.75" thickBot="1">
      <c r="A31" s="17" t="s">
        <v>440</v>
      </c>
      <c r="B31" s="25" t="s">
        <v>3</v>
      </c>
      <c r="C31" s="76">
        <v>359</v>
      </c>
      <c r="D31" s="76">
        <v>359</v>
      </c>
      <c r="E31" s="76">
        <v>369</v>
      </c>
      <c r="F31" s="76">
        <v>371</v>
      </c>
      <c r="G31" s="76">
        <v>374</v>
      </c>
      <c r="H31" s="76">
        <v>380</v>
      </c>
      <c r="I31" s="76">
        <v>386</v>
      </c>
      <c r="J31" s="76">
        <v>403</v>
      </c>
      <c r="K31" s="76">
        <v>412</v>
      </c>
      <c r="L31" s="76">
        <v>420</v>
      </c>
      <c r="M31" s="76">
        <v>459</v>
      </c>
      <c r="N31" s="76">
        <v>476</v>
      </c>
      <c r="O31" s="76">
        <v>477</v>
      </c>
      <c r="P31" s="76">
        <v>572</v>
      </c>
      <c r="Q31" s="9"/>
    </row>
    <row r="32" spans="1:21" s="2" customFormat="1" ht="15.75" thickBot="1">
      <c r="A32" s="7" t="s">
        <v>605</v>
      </c>
      <c r="B32" s="8" t="s">
        <v>8</v>
      </c>
      <c r="C32" s="76">
        <v>352</v>
      </c>
      <c r="D32" s="76">
        <v>355</v>
      </c>
      <c r="E32" s="76">
        <v>366</v>
      </c>
      <c r="F32" s="76">
        <v>371</v>
      </c>
      <c r="G32" s="76">
        <v>382</v>
      </c>
      <c r="H32" s="76">
        <v>437</v>
      </c>
      <c r="I32" s="76">
        <v>446</v>
      </c>
      <c r="J32" s="76">
        <v>447</v>
      </c>
      <c r="K32" s="76">
        <v>447</v>
      </c>
      <c r="L32" s="76">
        <v>450</v>
      </c>
      <c r="M32" s="76">
        <v>648</v>
      </c>
      <c r="N32" s="9">
        <v>727</v>
      </c>
      <c r="O32" s="76"/>
      <c r="P32" s="76"/>
      <c r="Q32" s="9" t="s">
        <v>10</v>
      </c>
    </row>
    <row r="33" spans="1:19" s="2" customFormat="1" ht="15.75" thickBot="1">
      <c r="A33" s="17" t="s">
        <v>449</v>
      </c>
      <c r="B33" s="23" t="s">
        <v>8</v>
      </c>
      <c r="C33" s="76">
        <v>329</v>
      </c>
      <c r="D33" s="76">
        <v>330</v>
      </c>
      <c r="E33" s="76">
        <v>331</v>
      </c>
      <c r="F33" s="76">
        <v>332</v>
      </c>
      <c r="G33" s="76">
        <v>338</v>
      </c>
      <c r="H33" s="76">
        <v>348</v>
      </c>
      <c r="I33" s="76">
        <v>350</v>
      </c>
      <c r="J33" s="76">
        <v>352</v>
      </c>
      <c r="K33" s="76">
        <v>352</v>
      </c>
      <c r="L33" s="76">
        <v>352</v>
      </c>
      <c r="M33" s="76" t="s">
        <v>16</v>
      </c>
    </row>
    <row r="34" spans="1:19" s="2" customFormat="1" ht="15.75" thickBot="1">
      <c r="A34" s="17" t="s">
        <v>442</v>
      </c>
      <c r="B34" s="41" t="s">
        <v>18</v>
      </c>
      <c r="C34" s="76">
        <v>323</v>
      </c>
      <c r="D34" s="76">
        <v>323</v>
      </c>
      <c r="E34" s="76">
        <v>326</v>
      </c>
      <c r="F34" s="76">
        <v>326</v>
      </c>
      <c r="G34" s="76">
        <v>327</v>
      </c>
      <c r="H34" s="76">
        <v>327</v>
      </c>
      <c r="I34" s="76">
        <v>327</v>
      </c>
      <c r="J34" s="76">
        <v>328</v>
      </c>
      <c r="K34" s="76">
        <v>329</v>
      </c>
      <c r="L34" s="76" t="s">
        <v>16</v>
      </c>
    </row>
    <row r="35" spans="1:19" s="2" customFormat="1" ht="15.75" thickBot="1">
      <c r="A35" s="17" t="s">
        <v>451</v>
      </c>
      <c r="B35" s="25" t="s">
        <v>3</v>
      </c>
      <c r="C35" s="76">
        <v>304</v>
      </c>
      <c r="D35" s="76">
        <v>305</v>
      </c>
      <c r="E35" s="76">
        <v>308</v>
      </c>
      <c r="F35" s="76">
        <v>308</v>
      </c>
      <c r="G35" s="76">
        <v>308</v>
      </c>
      <c r="H35" s="76">
        <v>308</v>
      </c>
      <c r="I35" s="76">
        <v>308</v>
      </c>
      <c r="J35" s="76" t="s">
        <v>16</v>
      </c>
      <c r="K35" s="38"/>
      <c r="L35" s="38"/>
      <c r="M35" s="38"/>
    </row>
    <row r="36" spans="1:19" s="2" customFormat="1" ht="15.75" thickBot="1">
      <c r="A36" s="7" t="s">
        <v>421</v>
      </c>
      <c r="B36" s="20" t="s">
        <v>3</v>
      </c>
      <c r="C36" s="76">
        <v>302</v>
      </c>
      <c r="D36" s="76">
        <v>302</v>
      </c>
      <c r="E36" s="76">
        <v>312</v>
      </c>
      <c r="F36" s="76">
        <v>313</v>
      </c>
      <c r="G36" s="76">
        <v>313</v>
      </c>
      <c r="H36" s="76">
        <v>314</v>
      </c>
      <c r="I36" s="76">
        <v>314</v>
      </c>
      <c r="J36" s="76">
        <v>320</v>
      </c>
      <c r="K36" s="76">
        <v>350</v>
      </c>
      <c r="L36" s="76">
        <v>422</v>
      </c>
      <c r="M36" s="76">
        <v>435</v>
      </c>
      <c r="N36" s="76">
        <v>441</v>
      </c>
      <c r="O36" s="76">
        <v>441</v>
      </c>
      <c r="P36" s="9">
        <v>646</v>
      </c>
      <c r="Q36" s="9" t="s">
        <v>452</v>
      </c>
    </row>
    <row r="37" spans="1:19" s="2" customFormat="1" ht="15.75" thickBot="1">
      <c r="A37" s="7" t="s">
        <v>374</v>
      </c>
      <c r="B37" s="8" t="s">
        <v>8</v>
      </c>
      <c r="C37" s="76">
        <v>299</v>
      </c>
      <c r="D37" s="76">
        <v>302</v>
      </c>
      <c r="E37" s="76">
        <v>306</v>
      </c>
      <c r="F37" s="76">
        <v>328</v>
      </c>
      <c r="G37" s="76">
        <v>351</v>
      </c>
      <c r="H37" s="76">
        <v>379</v>
      </c>
      <c r="I37" s="76">
        <v>402</v>
      </c>
      <c r="J37" s="76">
        <v>403</v>
      </c>
      <c r="K37" s="76">
        <v>405</v>
      </c>
      <c r="L37" s="76">
        <v>405</v>
      </c>
      <c r="M37" s="76">
        <v>433</v>
      </c>
      <c r="N37" s="76">
        <v>635</v>
      </c>
      <c r="O37" s="76">
        <v>643</v>
      </c>
      <c r="P37" s="9">
        <v>649</v>
      </c>
      <c r="Q37" s="9" t="s">
        <v>57</v>
      </c>
    </row>
    <row r="38" spans="1:19" s="2" customFormat="1" ht="15.75" thickBot="1">
      <c r="A38" s="17" t="s">
        <v>441</v>
      </c>
      <c r="B38" s="23" t="s">
        <v>8</v>
      </c>
      <c r="C38" s="76">
        <v>228</v>
      </c>
      <c r="D38" s="76">
        <v>230</v>
      </c>
      <c r="E38" s="76">
        <v>231</v>
      </c>
      <c r="F38" s="76">
        <v>249</v>
      </c>
      <c r="G38" s="76">
        <v>270</v>
      </c>
      <c r="H38" s="76" t="s">
        <v>16</v>
      </c>
      <c r="I38" s="38"/>
      <c r="J38" s="38"/>
      <c r="K38" s="38"/>
      <c r="L38" s="38"/>
      <c r="M38" s="38"/>
    </row>
    <row r="39" spans="1:19" s="2" customFormat="1" ht="15.75" thickBot="1">
      <c r="A39" s="17" t="s">
        <v>444</v>
      </c>
      <c r="B39" s="23" t="s">
        <v>8</v>
      </c>
      <c r="C39" s="76">
        <v>215</v>
      </c>
      <c r="D39" s="76">
        <v>215</v>
      </c>
      <c r="E39" s="76">
        <v>219</v>
      </c>
      <c r="F39" s="76" t="s">
        <v>16</v>
      </c>
      <c r="H39" s="38"/>
      <c r="I39" s="38"/>
      <c r="J39" s="38"/>
      <c r="K39" s="38"/>
      <c r="L39" s="38"/>
      <c r="M39" s="38"/>
    </row>
    <row r="40" spans="1:19" s="2" customFormat="1" ht="15.75" thickBot="1">
      <c r="A40" s="17" t="s">
        <v>284</v>
      </c>
      <c r="B40" s="25" t="s">
        <v>3</v>
      </c>
      <c r="C40" s="76">
        <v>181</v>
      </c>
      <c r="D40" s="76">
        <v>181</v>
      </c>
      <c r="E40" s="76" t="s">
        <v>16</v>
      </c>
      <c r="H40" s="38"/>
      <c r="I40" s="38"/>
      <c r="J40" s="38"/>
      <c r="K40" s="38"/>
      <c r="L40" s="38"/>
      <c r="M40" s="38"/>
    </row>
    <row r="41" spans="1:19" s="2" customFormat="1" ht="15.75" thickBot="1">
      <c r="A41" s="17" t="s">
        <v>446</v>
      </c>
      <c r="B41" s="41" t="s">
        <v>447</v>
      </c>
      <c r="C41" s="76">
        <v>57</v>
      </c>
      <c r="D41" s="76" t="s">
        <v>16</v>
      </c>
      <c r="E41" s="38"/>
      <c r="F41" s="38"/>
      <c r="H41" s="38"/>
      <c r="I41" s="38"/>
      <c r="J41" s="38"/>
      <c r="K41" s="38"/>
      <c r="L41" s="38"/>
      <c r="M41" s="38"/>
    </row>
    <row r="42" spans="1:19" s="2" customFormat="1" ht="14.25">
      <c r="C42" s="38"/>
      <c r="D42" s="38"/>
      <c r="E42" s="38"/>
      <c r="F42" s="38"/>
    </row>
    <row r="43" spans="1:19" s="2" customFormat="1" ht="14.25">
      <c r="A43" s="1" t="s">
        <v>453</v>
      </c>
    </row>
    <row r="44" spans="1:19" s="2" customFormat="1" ht="9" customHeight="1" thickBot="1">
      <c r="A44" s="1"/>
    </row>
    <row r="45" spans="1:19" s="2" customFormat="1" ht="15.75" thickBot="1">
      <c r="A45" s="3" t="s">
        <v>0</v>
      </c>
      <c r="B45" s="4" t="s">
        <v>1</v>
      </c>
      <c r="C45" s="4" t="s">
        <v>2</v>
      </c>
      <c r="D45" s="4">
        <v>2</v>
      </c>
      <c r="E45" s="4">
        <v>3</v>
      </c>
      <c r="F45" s="4">
        <v>4</v>
      </c>
      <c r="G45" s="4">
        <v>5</v>
      </c>
      <c r="H45" s="4">
        <v>6</v>
      </c>
      <c r="I45" s="4">
        <v>7</v>
      </c>
      <c r="J45" s="4">
        <v>8</v>
      </c>
      <c r="K45" s="4">
        <v>9</v>
      </c>
      <c r="L45" s="4">
        <v>10</v>
      </c>
      <c r="M45" s="4">
        <v>11</v>
      </c>
      <c r="N45" s="4">
        <v>12</v>
      </c>
      <c r="O45" s="4"/>
      <c r="P45" s="6" t="s">
        <v>289</v>
      </c>
      <c r="Q45" s="39">
        <f>(7116/8506)</f>
        <v>0.83658593933693859</v>
      </c>
    </row>
    <row r="46" spans="1:19" s="2" customFormat="1" ht="15.75" thickBot="1">
      <c r="A46" s="7" t="s">
        <v>459</v>
      </c>
      <c r="B46" s="8" t="s">
        <v>8</v>
      </c>
      <c r="C46" s="9">
        <v>956</v>
      </c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5" t="s">
        <v>4</v>
      </c>
      <c r="P46" s="5"/>
      <c r="Q46" s="6" t="s">
        <v>5</v>
      </c>
      <c r="R46" s="6" t="s">
        <v>6</v>
      </c>
      <c r="S46" s="6" t="s">
        <v>7</v>
      </c>
    </row>
    <row r="47" spans="1:19" s="2" customFormat="1" ht="15.75" thickBot="1">
      <c r="A47" s="7" t="s">
        <v>386</v>
      </c>
      <c r="B47" s="42" t="s">
        <v>18</v>
      </c>
      <c r="C47" s="9">
        <v>756</v>
      </c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5" t="s">
        <v>9</v>
      </c>
      <c r="P47" s="13" t="s">
        <v>8</v>
      </c>
      <c r="Q47" s="14">
        <f>(C46+C53+C54+C57+C60+C61+C62)</f>
        <v>2485</v>
      </c>
      <c r="R47" s="15">
        <f>SUM(Q47/Q50)</f>
        <v>0.35601719197707737</v>
      </c>
      <c r="S47" s="5">
        <v>3</v>
      </c>
    </row>
    <row r="48" spans="1:19" s="2" customFormat="1" ht="15.75" thickBot="1">
      <c r="A48" s="7" t="s">
        <v>384</v>
      </c>
      <c r="B48" s="20" t="s">
        <v>3</v>
      </c>
      <c r="C48" s="76">
        <v>562</v>
      </c>
      <c r="D48" s="76">
        <v>569</v>
      </c>
      <c r="E48" s="76">
        <v>570</v>
      </c>
      <c r="F48" s="76">
        <v>570</v>
      </c>
      <c r="G48" s="76">
        <v>571</v>
      </c>
      <c r="H48" s="76">
        <v>589</v>
      </c>
      <c r="I48" s="76">
        <v>641</v>
      </c>
      <c r="J48" s="76">
        <v>677</v>
      </c>
      <c r="K48" s="76">
        <v>679</v>
      </c>
      <c r="L48" s="9">
        <v>759</v>
      </c>
      <c r="M48" s="76"/>
      <c r="N48" s="76"/>
      <c r="O48" s="75" t="s">
        <v>15</v>
      </c>
      <c r="P48" s="16" t="s">
        <v>3</v>
      </c>
      <c r="Q48" s="14">
        <f>(C48+C50+C51+C52+C55+C56+C58+C59)</f>
        <v>3198</v>
      </c>
      <c r="R48" s="15">
        <f>SUM(Q48/Q50)</f>
        <v>0.45816618911174783</v>
      </c>
      <c r="S48" s="5">
        <v>4</v>
      </c>
    </row>
    <row r="49" spans="1:19" s="2" customFormat="1" ht="15.75" thickBot="1">
      <c r="A49" s="7" t="s">
        <v>583</v>
      </c>
      <c r="B49" s="42" t="s">
        <v>18</v>
      </c>
      <c r="C49" s="80">
        <v>541</v>
      </c>
      <c r="D49" s="76">
        <v>542</v>
      </c>
      <c r="E49" s="76">
        <v>592</v>
      </c>
      <c r="F49" s="76">
        <v>593</v>
      </c>
      <c r="G49" s="76">
        <v>596</v>
      </c>
      <c r="H49" s="76">
        <v>603</v>
      </c>
      <c r="I49" s="76">
        <v>609</v>
      </c>
      <c r="J49" s="76">
        <v>610</v>
      </c>
      <c r="K49" s="76">
        <v>612</v>
      </c>
      <c r="L49" s="76">
        <v>629</v>
      </c>
      <c r="M49" s="76">
        <v>631</v>
      </c>
      <c r="N49" s="9">
        <v>638</v>
      </c>
      <c r="O49" s="75" t="s">
        <v>452</v>
      </c>
      <c r="P49" s="6" t="s">
        <v>17</v>
      </c>
      <c r="Q49" s="38">
        <f>(C47+C49)</f>
        <v>1297</v>
      </c>
      <c r="R49" s="39">
        <f>SUM(Q49/Q50)</f>
        <v>0.18581661891117479</v>
      </c>
      <c r="S49" s="2">
        <v>2</v>
      </c>
    </row>
    <row r="50" spans="1:19" s="2" customFormat="1" ht="15.75" thickBot="1">
      <c r="A50" s="7" t="s">
        <v>475</v>
      </c>
      <c r="B50" s="20" t="s">
        <v>3</v>
      </c>
      <c r="C50" s="76">
        <v>512</v>
      </c>
      <c r="D50" s="76">
        <v>514</v>
      </c>
      <c r="E50" s="76">
        <v>514</v>
      </c>
      <c r="F50" s="76">
        <v>514</v>
      </c>
      <c r="G50" s="76">
        <v>515</v>
      </c>
      <c r="H50" s="76">
        <v>517</v>
      </c>
      <c r="I50" s="76">
        <v>529</v>
      </c>
      <c r="J50" s="76">
        <v>537</v>
      </c>
      <c r="K50" s="76">
        <v>548</v>
      </c>
      <c r="L50" s="76">
        <v>588</v>
      </c>
      <c r="M50" s="76">
        <v>597</v>
      </c>
      <c r="N50" s="9">
        <v>602</v>
      </c>
      <c r="O50" s="11" t="s">
        <v>462</v>
      </c>
      <c r="Q50" s="22">
        <v>6980</v>
      </c>
    </row>
    <row r="51" spans="1:19" s="2" customFormat="1" ht="15.75" thickBot="1">
      <c r="A51" s="7" t="s">
        <v>308</v>
      </c>
      <c r="B51" s="20" t="s">
        <v>3</v>
      </c>
      <c r="C51" s="76">
        <v>494</v>
      </c>
      <c r="D51" s="76">
        <v>505</v>
      </c>
      <c r="E51" s="76">
        <v>507</v>
      </c>
      <c r="F51" s="76">
        <v>516</v>
      </c>
      <c r="G51" s="76">
        <v>522</v>
      </c>
      <c r="H51" s="76">
        <v>632</v>
      </c>
      <c r="I51" s="9">
        <v>767</v>
      </c>
      <c r="J51" s="76"/>
      <c r="K51" s="76"/>
      <c r="L51" s="76"/>
      <c r="M51" s="76"/>
      <c r="N51" s="76"/>
      <c r="O51" s="11" t="s">
        <v>12</v>
      </c>
    </row>
    <row r="52" spans="1:19" s="2" customFormat="1" ht="15.75" thickBot="1">
      <c r="A52" s="7" t="s">
        <v>471</v>
      </c>
      <c r="B52" s="20" t="s">
        <v>3</v>
      </c>
      <c r="C52" s="80">
        <v>469</v>
      </c>
      <c r="D52" s="76">
        <v>473</v>
      </c>
      <c r="E52" s="76">
        <v>474</v>
      </c>
      <c r="F52" s="76">
        <v>476</v>
      </c>
      <c r="G52" s="76">
        <v>483</v>
      </c>
      <c r="H52" s="76">
        <v>501</v>
      </c>
      <c r="I52" s="76">
        <v>512</v>
      </c>
      <c r="J52" s="76">
        <v>517</v>
      </c>
      <c r="K52" s="76">
        <v>519</v>
      </c>
      <c r="L52" s="76">
        <v>617</v>
      </c>
      <c r="M52" s="76">
        <v>646</v>
      </c>
      <c r="N52" s="9">
        <v>656</v>
      </c>
      <c r="O52" s="11" t="s">
        <v>57</v>
      </c>
    </row>
    <row r="53" spans="1:19" s="2" customFormat="1" ht="15.75" thickBot="1">
      <c r="A53" s="7" t="s">
        <v>460</v>
      </c>
      <c r="B53" s="8" t="s">
        <v>8</v>
      </c>
      <c r="C53" s="76">
        <v>431</v>
      </c>
      <c r="D53" s="76">
        <v>472</v>
      </c>
      <c r="E53" s="76">
        <v>472</v>
      </c>
      <c r="F53" s="76">
        <v>478</v>
      </c>
      <c r="G53" s="76">
        <v>491</v>
      </c>
      <c r="H53" s="76">
        <v>491</v>
      </c>
      <c r="I53" s="76">
        <v>497</v>
      </c>
      <c r="J53" s="76">
        <v>498</v>
      </c>
      <c r="K53" s="9">
        <v>703</v>
      </c>
      <c r="L53" s="76"/>
      <c r="M53" s="76"/>
      <c r="N53" s="76"/>
      <c r="O53" s="11" t="s">
        <v>10</v>
      </c>
    </row>
    <row r="54" spans="1:19" s="2" customFormat="1" ht="15.75" thickBot="1">
      <c r="A54" s="7" t="s">
        <v>454</v>
      </c>
      <c r="B54" s="8" t="s">
        <v>8</v>
      </c>
      <c r="C54" s="76">
        <v>353</v>
      </c>
      <c r="D54" s="76">
        <v>382</v>
      </c>
      <c r="E54" s="76">
        <v>382</v>
      </c>
      <c r="F54" s="76">
        <v>385</v>
      </c>
      <c r="G54" s="76">
        <v>462</v>
      </c>
      <c r="H54" s="76">
        <v>464</v>
      </c>
      <c r="I54" s="76">
        <v>465</v>
      </c>
      <c r="J54" s="76">
        <v>466</v>
      </c>
      <c r="K54" s="76">
        <v>492</v>
      </c>
      <c r="L54" s="76">
        <v>493</v>
      </c>
      <c r="M54" s="76">
        <v>494</v>
      </c>
      <c r="N54" s="9">
        <v>735</v>
      </c>
      <c r="O54" s="11" t="s">
        <v>14</v>
      </c>
    </row>
    <row r="55" spans="1:19" s="2" customFormat="1" ht="15.75" thickBot="1">
      <c r="A55" s="17" t="s">
        <v>388</v>
      </c>
      <c r="B55" s="25" t="s">
        <v>3</v>
      </c>
      <c r="C55" s="76">
        <v>342</v>
      </c>
      <c r="D55" s="76">
        <v>342</v>
      </c>
      <c r="E55" s="76">
        <v>342</v>
      </c>
      <c r="F55" s="76">
        <v>342</v>
      </c>
      <c r="G55" s="76">
        <v>342</v>
      </c>
      <c r="H55" s="76">
        <v>345</v>
      </c>
      <c r="I55" s="76">
        <v>376</v>
      </c>
      <c r="J55" s="76">
        <v>385</v>
      </c>
      <c r="K55" s="76">
        <v>391</v>
      </c>
      <c r="L55" s="76">
        <v>419</v>
      </c>
      <c r="M55" s="76">
        <v>437</v>
      </c>
      <c r="N55" s="76">
        <v>438</v>
      </c>
      <c r="O55" s="11"/>
    </row>
    <row r="56" spans="1:19" s="2" customFormat="1" ht="15.75" thickBot="1">
      <c r="A56" s="17" t="s">
        <v>458</v>
      </c>
      <c r="B56" s="25" t="s">
        <v>3</v>
      </c>
      <c r="C56" s="80">
        <v>314</v>
      </c>
      <c r="D56" s="76">
        <v>317</v>
      </c>
      <c r="E56" s="76">
        <v>318</v>
      </c>
      <c r="F56" s="76">
        <v>319</v>
      </c>
      <c r="G56" s="76">
        <v>323</v>
      </c>
      <c r="H56" s="76">
        <v>324</v>
      </c>
      <c r="I56" s="76" t="s">
        <v>16</v>
      </c>
    </row>
    <row r="57" spans="1:19" s="2" customFormat="1" ht="15.75" thickBot="1">
      <c r="A57" s="17" t="s">
        <v>455</v>
      </c>
      <c r="B57" s="23" t="s">
        <v>8</v>
      </c>
      <c r="C57" s="76">
        <v>273</v>
      </c>
      <c r="D57" s="76">
        <v>313</v>
      </c>
      <c r="E57" s="76">
        <v>313</v>
      </c>
      <c r="F57" s="76">
        <v>318</v>
      </c>
      <c r="G57" s="76">
        <v>322</v>
      </c>
      <c r="H57" s="76">
        <v>326</v>
      </c>
      <c r="I57" s="76">
        <v>335</v>
      </c>
      <c r="J57" s="76">
        <v>336</v>
      </c>
      <c r="K57" s="76" t="s">
        <v>16</v>
      </c>
    </row>
    <row r="58" spans="1:19" s="2" customFormat="1" ht="15.75" thickBot="1">
      <c r="A58" s="17" t="s">
        <v>461</v>
      </c>
      <c r="B58" s="25" t="s">
        <v>3</v>
      </c>
      <c r="C58" s="76">
        <v>272</v>
      </c>
      <c r="D58" s="76">
        <v>275</v>
      </c>
      <c r="E58" s="76">
        <v>276</v>
      </c>
      <c r="F58" s="76">
        <v>279</v>
      </c>
      <c r="G58" s="76">
        <v>288</v>
      </c>
      <c r="H58" s="76">
        <v>356</v>
      </c>
      <c r="I58" s="76">
        <v>372</v>
      </c>
      <c r="J58" s="76">
        <v>376</v>
      </c>
      <c r="K58" s="76">
        <v>377</v>
      </c>
      <c r="L58" s="76" t="s">
        <v>16</v>
      </c>
    </row>
    <row r="59" spans="1:19" s="2" customFormat="1" ht="15.75" thickBot="1">
      <c r="A59" s="17" t="s">
        <v>596</v>
      </c>
      <c r="B59" s="25" t="s">
        <v>3</v>
      </c>
      <c r="C59" s="80">
        <v>233</v>
      </c>
      <c r="D59" s="76">
        <v>236</v>
      </c>
      <c r="E59" s="76">
        <v>237</v>
      </c>
      <c r="F59" s="76">
        <v>265</v>
      </c>
      <c r="G59" s="76">
        <v>272</v>
      </c>
      <c r="H59" s="76" t="s">
        <v>16</v>
      </c>
    </row>
    <row r="60" spans="1:19" s="2" customFormat="1" ht="15.75" thickBot="1">
      <c r="A60" s="17" t="s">
        <v>456</v>
      </c>
      <c r="B60" s="23" t="s">
        <v>8</v>
      </c>
      <c r="C60" s="76">
        <v>170</v>
      </c>
      <c r="D60" s="76">
        <v>268</v>
      </c>
      <c r="E60" s="76">
        <v>268</v>
      </c>
      <c r="F60" s="76">
        <v>295</v>
      </c>
      <c r="G60" s="76">
        <v>360</v>
      </c>
      <c r="H60" s="76">
        <v>375</v>
      </c>
      <c r="I60" s="76">
        <v>386</v>
      </c>
      <c r="J60" s="76">
        <v>388</v>
      </c>
      <c r="K60" s="76">
        <v>420</v>
      </c>
      <c r="L60" s="76">
        <v>430</v>
      </c>
      <c r="M60" s="76">
        <v>431</v>
      </c>
      <c r="N60" s="76" t="s">
        <v>16</v>
      </c>
    </row>
    <row r="61" spans="1:19" s="2" customFormat="1" ht="15.75" thickBot="1">
      <c r="A61" s="17" t="s">
        <v>334</v>
      </c>
      <c r="B61" s="23" t="s">
        <v>8</v>
      </c>
      <c r="C61" s="76">
        <v>168</v>
      </c>
      <c r="D61" s="76">
        <v>175</v>
      </c>
      <c r="E61" s="76">
        <v>175</v>
      </c>
      <c r="F61" s="76">
        <v>218</v>
      </c>
      <c r="G61" s="76" t="s">
        <v>16</v>
      </c>
    </row>
    <row r="62" spans="1:19" s="2" customFormat="1" ht="15.75" thickBot="1">
      <c r="A62" s="17" t="s">
        <v>457</v>
      </c>
      <c r="B62" s="23" t="s">
        <v>8</v>
      </c>
      <c r="C62" s="76">
        <v>134</v>
      </c>
      <c r="D62" s="76">
        <v>143</v>
      </c>
      <c r="E62" s="76">
        <v>143</v>
      </c>
      <c r="F62" s="76" t="s">
        <v>16</v>
      </c>
    </row>
    <row r="63" spans="1:19" s="2" customFormat="1" ht="14.25">
      <c r="C63" s="38"/>
    </row>
    <row r="64" spans="1:19" s="2" customFormat="1" ht="14.25">
      <c r="A64" s="1" t="s">
        <v>463</v>
      </c>
    </row>
    <row r="65" spans="1:20" s="2" customFormat="1" ht="9.75" customHeight="1" thickBot="1">
      <c r="A65" s="1"/>
    </row>
    <row r="66" spans="1:20" s="2" customFormat="1" ht="15.75" thickBot="1">
      <c r="A66" s="3" t="s">
        <v>0</v>
      </c>
      <c r="B66" s="4" t="s">
        <v>1</v>
      </c>
      <c r="C66" s="4" t="s">
        <v>2</v>
      </c>
      <c r="D66" s="4">
        <v>2</v>
      </c>
      <c r="E66" s="4">
        <v>3</v>
      </c>
      <c r="F66" s="4">
        <v>4</v>
      </c>
      <c r="G66" s="4">
        <v>5</v>
      </c>
      <c r="H66" s="4">
        <v>6</v>
      </c>
      <c r="I66" s="4">
        <v>7</v>
      </c>
      <c r="J66" s="4">
        <v>8</v>
      </c>
      <c r="K66" s="4">
        <v>9</v>
      </c>
      <c r="L66" s="4">
        <v>10</v>
      </c>
      <c r="M66" s="4">
        <v>11</v>
      </c>
      <c r="N66" s="4">
        <v>12</v>
      </c>
      <c r="O66" s="4">
        <v>13</v>
      </c>
      <c r="P66" s="4"/>
      <c r="Q66" s="6" t="s">
        <v>289</v>
      </c>
      <c r="R66" s="39">
        <f>(6033/7465)</f>
        <v>0.80817146684527796</v>
      </c>
    </row>
    <row r="67" spans="1:20" s="2" customFormat="1" ht="15.75" thickBot="1">
      <c r="A67" s="7" t="s">
        <v>397</v>
      </c>
      <c r="B67" s="8" t="s">
        <v>8</v>
      </c>
      <c r="C67" s="76">
        <v>618</v>
      </c>
      <c r="D67" s="76">
        <v>619</v>
      </c>
      <c r="E67" s="76">
        <v>621</v>
      </c>
      <c r="F67" s="9">
        <v>689</v>
      </c>
      <c r="G67" s="76"/>
      <c r="H67" s="76"/>
      <c r="I67" s="76"/>
      <c r="J67" s="76"/>
      <c r="K67" s="76"/>
      <c r="L67" s="76"/>
      <c r="M67" s="76"/>
      <c r="N67" s="76"/>
      <c r="O67" s="76"/>
      <c r="P67" s="11" t="s">
        <v>4</v>
      </c>
      <c r="Q67" s="5"/>
      <c r="R67" s="6" t="s">
        <v>5</v>
      </c>
      <c r="S67" s="6" t="s">
        <v>6</v>
      </c>
      <c r="T67" s="6" t="s">
        <v>7</v>
      </c>
    </row>
    <row r="68" spans="1:20" s="2" customFormat="1" ht="15.75" thickBot="1">
      <c r="A68" s="7" t="s">
        <v>469</v>
      </c>
      <c r="B68" s="20" t="s">
        <v>3</v>
      </c>
      <c r="C68" s="76">
        <v>604</v>
      </c>
      <c r="D68" s="76">
        <v>606</v>
      </c>
      <c r="E68" s="76">
        <v>609</v>
      </c>
      <c r="F68" s="76">
        <v>613</v>
      </c>
      <c r="G68" s="76">
        <v>614</v>
      </c>
      <c r="H68" s="76">
        <v>646</v>
      </c>
      <c r="I68" s="76">
        <v>646</v>
      </c>
      <c r="J68" s="9">
        <v>651</v>
      </c>
      <c r="K68" s="76"/>
      <c r="L68" s="76"/>
      <c r="M68" s="76"/>
      <c r="N68" s="76"/>
      <c r="O68" s="76"/>
      <c r="P68" s="11" t="s">
        <v>9</v>
      </c>
      <c r="Q68" s="13" t="s">
        <v>8</v>
      </c>
      <c r="R68" s="14">
        <f>(C67+C70+C71+C75+C77+C76+C78+C81+C83)</f>
        <v>2898</v>
      </c>
      <c r="S68" s="15">
        <f>SUM(R68/R72)</f>
        <v>0.49631786264771366</v>
      </c>
      <c r="T68" s="5">
        <v>4</v>
      </c>
    </row>
    <row r="69" spans="1:20" s="2" customFormat="1" ht="15.75" thickBot="1">
      <c r="A69" s="7" t="s">
        <v>77</v>
      </c>
      <c r="B69" s="20" t="s">
        <v>3</v>
      </c>
      <c r="C69" s="76">
        <v>524</v>
      </c>
      <c r="D69" s="76">
        <v>525</v>
      </c>
      <c r="E69" s="76">
        <v>526</v>
      </c>
      <c r="F69" s="76">
        <v>528</v>
      </c>
      <c r="G69" s="76">
        <v>528</v>
      </c>
      <c r="H69" s="76">
        <v>530</v>
      </c>
      <c r="I69" s="76">
        <v>532</v>
      </c>
      <c r="J69" s="76">
        <v>536</v>
      </c>
      <c r="K69" s="76">
        <v>569</v>
      </c>
      <c r="L69" s="76">
        <v>569</v>
      </c>
      <c r="M69" s="76">
        <v>625</v>
      </c>
      <c r="N69" s="9">
        <v>665</v>
      </c>
      <c r="O69" s="76"/>
      <c r="P69" s="11" t="s">
        <v>10</v>
      </c>
      <c r="Q69" s="16" t="s">
        <v>3</v>
      </c>
      <c r="R69" s="14">
        <f>(C68+C69+C72+C73+C74)</f>
        <v>2186</v>
      </c>
      <c r="S69" s="15">
        <f>SUM(R69/R72)</f>
        <v>0.3743791745161843</v>
      </c>
      <c r="T69" s="5">
        <v>4</v>
      </c>
    </row>
    <row r="70" spans="1:20" s="2" customFormat="1" ht="15.75" thickBot="1">
      <c r="A70" s="7" t="s">
        <v>409</v>
      </c>
      <c r="B70" s="8" t="s">
        <v>8</v>
      </c>
      <c r="C70" s="76">
        <v>436</v>
      </c>
      <c r="D70" s="76">
        <v>436</v>
      </c>
      <c r="E70" s="76">
        <v>436</v>
      </c>
      <c r="F70" s="76">
        <v>451</v>
      </c>
      <c r="G70" s="76">
        <v>463</v>
      </c>
      <c r="H70" s="76">
        <v>466</v>
      </c>
      <c r="I70" s="76">
        <v>475</v>
      </c>
      <c r="J70" s="76">
        <v>501</v>
      </c>
      <c r="K70" s="76">
        <v>516</v>
      </c>
      <c r="L70" s="76">
        <v>558</v>
      </c>
      <c r="M70" s="76">
        <v>607</v>
      </c>
      <c r="N70" s="76">
        <v>610</v>
      </c>
      <c r="O70" s="9">
        <v>610</v>
      </c>
      <c r="P70" s="11" t="s">
        <v>15</v>
      </c>
      <c r="Q70" s="88" t="s">
        <v>13</v>
      </c>
      <c r="R70" s="14">
        <v>125</v>
      </c>
      <c r="S70" s="15">
        <f>SUM(R70/R72)</f>
        <v>2.140777530399041E-2</v>
      </c>
      <c r="T70" s="5"/>
    </row>
    <row r="71" spans="1:20" s="2" customFormat="1" ht="15.75" thickBot="1">
      <c r="A71" s="7" t="s">
        <v>470</v>
      </c>
      <c r="B71" s="8" t="s">
        <v>8</v>
      </c>
      <c r="C71" s="76">
        <v>386</v>
      </c>
      <c r="D71" s="76">
        <v>388</v>
      </c>
      <c r="E71" s="76">
        <v>392</v>
      </c>
      <c r="F71" s="76">
        <v>396</v>
      </c>
      <c r="G71" s="76">
        <v>407</v>
      </c>
      <c r="H71" s="76">
        <v>407</v>
      </c>
      <c r="I71" s="76">
        <v>411</v>
      </c>
      <c r="J71" s="76">
        <v>542</v>
      </c>
      <c r="K71" s="76">
        <v>542</v>
      </c>
      <c r="L71" s="76">
        <v>544</v>
      </c>
      <c r="M71" s="76">
        <v>578</v>
      </c>
      <c r="N71" s="76">
        <v>582</v>
      </c>
      <c r="O71" s="9">
        <v>582</v>
      </c>
      <c r="P71" s="11" t="s">
        <v>14</v>
      </c>
      <c r="Q71" s="26" t="s">
        <v>17</v>
      </c>
      <c r="R71" s="14">
        <f>(C79+C80+C82+C85)</f>
        <v>630</v>
      </c>
      <c r="S71" s="15">
        <f>SUM(R71/R72)</f>
        <v>0.10789518753211166</v>
      </c>
      <c r="T71" s="5"/>
    </row>
    <row r="72" spans="1:20" s="2" customFormat="1" ht="15.75" thickBot="1">
      <c r="A72" s="7" t="s">
        <v>476</v>
      </c>
      <c r="B72" s="20" t="s">
        <v>3</v>
      </c>
      <c r="C72" s="76">
        <v>366</v>
      </c>
      <c r="D72" s="76">
        <v>366</v>
      </c>
      <c r="E72" s="76">
        <v>381</v>
      </c>
      <c r="F72" s="76">
        <v>383</v>
      </c>
      <c r="G72" s="76">
        <v>383</v>
      </c>
      <c r="H72" s="76">
        <v>414</v>
      </c>
      <c r="I72" s="76">
        <v>418</v>
      </c>
      <c r="J72" s="76">
        <v>421</v>
      </c>
      <c r="K72" s="76">
        <v>465</v>
      </c>
      <c r="L72" s="76">
        <v>471</v>
      </c>
      <c r="M72" s="76">
        <v>483</v>
      </c>
      <c r="N72" s="9">
        <v>711</v>
      </c>
      <c r="O72" s="76"/>
      <c r="P72" s="11" t="s">
        <v>12</v>
      </c>
      <c r="R72" s="22">
        <v>5839</v>
      </c>
    </row>
    <row r="73" spans="1:20" s="2" customFormat="1" ht="15.75" thickBot="1">
      <c r="A73" s="17" t="s">
        <v>464</v>
      </c>
      <c r="B73" s="25" t="s">
        <v>3</v>
      </c>
      <c r="C73" s="76">
        <v>358</v>
      </c>
      <c r="D73" s="76">
        <v>358</v>
      </c>
      <c r="E73" s="76">
        <v>362</v>
      </c>
      <c r="F73" s="76">
        <v>362</v>
      </c>
      <c r="G73" s="76">
        <v>362</v>
      </c>
      <c r="H73" s="76">
        <v>366</v>
      </c>
      <c r="I73" s="76">
        <v>386</v>
      </c>
      <c r="J73" s="76">
        <v>386</v>
      </c>
      <c r="K73" s="76">
        <v>404</v>
      </c>
      <c r="L73" s="76">
        <v>404</v>
      </c>
      <c r="M73" s="76">
        <v>409</v>
      </c>
      <c r="N73" s="76" t="s">
        <v>16</v>
      </c>
    </row>
    <row r="74" spans="1:20" s="2" customFormat="1" ht="15.75" thickBot="1">
      <c r="A74" s="7" t="s">
        <v>314</v>
      </c>
      <c r="B74" s="20" t="s">
        <v>3</v>
      </c>
      <c r="C74" s="76">
        <v>334</v>
      </c>
      <c r="D74" s="76">
        <v>336</v>
      </c>
      <c r="E74" s="76">
        <v>340</v>
      </c>
      <c r="F74" s="76">
        <v>346</v>
      </c>
      <c r="G74" s="76">
        <v>347</v>
      </c>
      <c r="H74" s="76">
        <v>363</v>
      </c>
      <c r="I74" s="76">
        <v>364</v>
      </c>
      <c r="J74" s="76">
        <v>368</v>
      </c>
      <c r="K74" s="76">
        <v>394</v>
      </c>
      <c r="L74" s="76">
        <v>396</v>
      </c>
      <c r="M74" s="76">
        <v>449</v>
      </c>
      <c r="N74" s="76">
        <v>472</v>
      </c>
      <c r="O74" s="9">
        <v>529</v>
      </c>
      <c r="P74" s="11" t="s">
        <v>452</v>
      </c>
    </row>
    <row r="75" spans="1:20" s="2" customFormat="1" ht="15.75" thickBot="1">
      <c r="A75" s="17" t="s">
        <v>467</v>
      </c>
      <c r="B75" s="23" t="s">
        <v>8</v>
      </c>
      <c r="C75" s="76">
        <v>308</v>
      </c>
      <c r="D75" s="76">
        <v>312</v>
      </c>
      <c r="E75" s="76">
        <v>328</v>
      </c>
      <c r="F75" s="76">
        <v>331</v>
      </c>
      <c r="G75" s="76">
        <v>332</v>
      </c>
      <c r="H75" s="76">
        <v>341</v>
      </c>
      <c r="I75" s="76">
        <v>355</v>
      </c>
      <c r="J75" s="76">
        <v>358</v>
      </c>
      <c r="K75" s="76">
        <v>360</v>
      </c>
      <c r="L75" s="76">
        <v>494</v>
      </c>
      <c r="M75" s="76">
        <v>496</v>
      </c>
      <c r="N75" s="76">
        <v>498</v>
      </c>
      <c r="O75" s="76">
        <v>498</v>
      </c>
      <c r="P75" s="11"/>
      <c r="Q75" s="15"/>
      <c r="R75" s="5"/>
    </row>
    <row r="76" spans="1:20" s="2" customFormat="1" ht="15.75" thickBot="1">
      <c r="A76" s="7" t="s">
        <v>472</v>
      </c>
      <c r="B76" s="8" t="s">
        <v>8</v>
      </c>
      <c r="C76" s="76">
        <v>293</v>
      </c>
      <c r="D76" s="76">
        <v>293</v>
      </c>
      <c r="E76" s="76">
        <v>330</v>
      </c>
      <c r="F76" s="76">
        <v>330</v>
      </c>
      <c r="G76" s="76">
        <v>331</v>
      </c>
      <c r="H76" s="76">
        <v>334</v>
      </c>
      <c r="I76" s="76">
        <v>483</v>
      </c>
      <c r="J76" s="76">
        <v>485</v>
      </c>
      <c r="K76" s="76">
        <v>488</v>
      </c>
      <c r="L76" s="76">
        <v>503</v>
      </c>
      <c r="M76" s="76">
        <v>506</v>
      </c>
      <c r="N76" s="76">
        <v>536</v>
      </c>
      <c r="O76" s="9">
        <v>541</v>
      </c>
      <c r="P76" s="11" t="s">
        <v>57</v>
      </c>
    </row>
    <row r="77" spans="1:20" s="2" customFormat="1" ht="15.75" thickBot="1">
      <c r="A77" s="17" t="s">
        <v>474</v>
      </c>
      <c r="B77" s="23" t="s">
        <v>8</v>
      </c>
      <c r="C77" s="76">
        <v>273</v>
      </c>
      <c r="D77" s="76">
        <v>274</v>
      </c>
      <c r="E77" s="76">
        <v>274</v>
      </c>
      <c r="F77" s="76">
        <v>278</v>
      </c>
      <c r="G77" s="76">
        <v>278</v>
      </c>
      <c r="H77" s="76">
        <v>284</v>
      </c>
      <c r="I77" s="76">
        <v>285</v>
      </c>
      <c r="J77" s="76">
        <v>287</v>
      </c>
      <c r="K77" s="76">
        <v>289</v>
      </c>
      <c r="L77" s="76" t="s">
        <v>16</v>
      </c>
    </row>
    <row r="78" spans="1:20" s="2" customFormat="1" ht="15.75" thickBot="1">
      <c r="A78" s="17" t="s">
        <v>444</v>
      </c>
      <c r="B78" s="23" t="s">
        <v>8</v>
      </c>
      <c r="C78" s="76">
        <v>224</v>
      </c>
      <c r="D78" s="76">
        <v>225</v>
      </c>
      <c r="E78" s="76">
        <v>225</v>
      </c>
      <c r="F78" s="76">
        <v>233</v>
      </c>
      <c r="G78" s="76">
        <v>237</v>
      </c>
      <c r="H78" s="76">
        <v>239</v>
      </c>
      <c r="I78" s="76">
        <v>239</v>
      </c>
      <c r="J78" s="76" t="s">
        <v>16</v>
      </c>
      <c r="L78" s="38"/>
    </row>
    <row r="79" spans="1:20" s="2" customFormat="1" ht="15.75" thickBot="1">
      <c r="A79" s="17" t="s">
        <v>410</v>
      </c>
      <c r="B79" s="41" t="s">
        <v>18</v>
      </c>
      <c r="C79" s="76">
        <v>217</v>
      </c>
      <c r="D79" s="76">
        <v>219</v>
      </c>
      <c r="E79" s="76">
        <v>219</v>
      </c>
      <c r="F79" s="76">
        <v>242</v>
      </c>
      <c r="G79" s="76">
        <v>251</v>
      </c>
      <c r="H79" s="76">
        <v>254</v>
      </c>
      <c r="I79" s="76">
        <v>254</v>
      </c>
      <c r="J79" s="76">
        <v>292</v>
      </c>
      <c r="K79" s="76">
        <v>337</v>
      </c>
      <c r="L79" s="76">
        <v>345</v>
      </c>
      <c r="M79" s="76" t="s">
        <v>16</v>
      </c>
    </row>
    <row r="80" spans="1:20" s="2" customFormat="1" ht="15.75" thickBot="1">
      <c r="A80" s="17" t="s">
        <v>473</v>
      </c>
      <c r="B80" s="41" t="s">
        <v>18</v>
      </c>
      <c r="C80" s="76">
        <v>214</v>
      </c>
      <c r="D80" s="76">
        <v>214</v>
      </c>
      <c r="E80" s="76">
        <v>218</v>
      </c>
      <c r="F80" s="76">
        <v>218</v>
      </c>
      <c r="G80" s="76">
        <v>218</v>
      </c>
      <c r="H80" s="76">
        <v>274</v>
      </c>
      <c r="I80" s="76">
        <v>275</v>
      </c>
      <c r="J80" s="76">
        <v>279</v>
      </c>
      <c r="K80" s="76" t="s">
        <v>16</v>
      </c>
      <c r="M80" s="22"/>
    </row>
    <row r="81" spans="1:13" s="2" customFormat="1" ht="15.75" thickBot="1">
      <c r="A81" s="17" t="s">
        <v>95</v>
      </c>
      <c r="B81" s="23" t="s">
        <v>8</v>
      </c>
      <c r="C81" s="80">
        <v>210</v>
      </c>
      <c r="D81" s="76">
        <v>210</v>
      </c>
      <c r="E81" s="76">
        <v>234</v>
      </c>
      <c r="F81" s="76">
        <v>234</v>
      </c>
      <c r="G81" s="76">
        <v>234</v>
      </c>
      <c r="H81" s="76">
        <v>234</v>
      </c>
      <c r="I81" s="76" t="s">
        <v>16</v>
      </c>
      <c r="M81" s="22"/>
    </row>
    <row r="82" spans="1:13" s="2" customFormat="1" ht="15.75" thickBot="1">
      <c r="A82" s="17" t="s">
        <v>579</v>
      </c>
      <c r="B82" s="41" t="s">
        <v>18</v>
      </c>
      <c r="C82" s="76">
        <v>179</v>
      </c>
      <c r="D82" s="76">
        <v>180</v>
      </c>
      <c r="E82" s="76">
        <v>184</v>
      </c>
      <c r="F82" s="76">
        <v>187</v>
      </c>
      <c r="G82" s="76">
        <v>187</v>
      </c>
      <c r="H82" s="76" t="s">
        <v>16</v>
      </c>
      <c r="L82" s="38"/>
    </row>
    <row r="83" spans="1:13" s="2" customFormat="1" ht="15.75" thickBot="1">
      <c r="A83" s="17" t="s">
        <v>468</v>
      </c>
      <c r="B83" s="23" t="s">
        <v>8</v>
      </c>
      <c r="C83" s="76">
        <v>150</v>
      </c>
      <c r="D83" s="76">
        <v>150</v>
      </c>
      <c r="E83" s="76">
        <v>150</v>
      </c>
      <c r="F83" s="76" t="s">
        <v>16</v>
      </c>
      <c r="L83" s="38"/>
    </row>
    <row r="84" spans="1:13" s="2" customFormat="1" ht="15.75" thickBot="1">
      <c r="A84" s="17" t="s">
        <v>465</v>
      </c>
      <c r="B84" s="87" t="s">
        <v>13</v>
      </c>
      <c r="C84" s="76">
        <v>125</v>
      </c>
      <c r="D84" s="76">
        <v>126</v>
      </c>
      <c r="E84" s="76" t="s">
        <v>16</v>
      </c>
      <c r="M84" s="22"/>
    </row>
    <row r="85" spans="1:13" s="2" customFormat="1" ht="15.75" thickBot="1">
      <c r="A85" s="17" t="s">
        <v>466</v>
      </c>
      <c r="B85" s="41" t="s">
        <v>18</v>
      </c>
      <c r="C85" s="76">
        <v>20</v>
      </c>
      <c r="D85" s="76" t="s">
        <v>16</v>
      </c>
      <c r="M85" s="22"/>
    </row>
    <row r="86" spans="1:13" s="2" customFormat="1" ht="15">
      <c r="A86" s="40"/>
      <c r="C86" s="38"/>
      <c r="D86" s="38"/>
    </row>
    <row r="87" spans="1:13">
      <c r="A87" s="27"/>
      <c r="B87" s="27" t="s">
        <v>19</v>
      </c>
      <c r="C87" s="28" t="s">
        <v>8</v>
      </c>
      <c r="D87" s="29" t="s">
        <v>3</v>
      </c>
      <c r="E87" s="91" t="s">
        <v>13</v>
      </c>
      <c r="F87" s="27" t="s">
        <v>17</v>
      </c>
      <c r="G87" s="73"/>
    </row>
    <row r="88" spans="1:13" ht="14.25">
      <c r="A88" s="32" t="s">
        <v>5</v>
      </c>
      <c r="B88" s="33">
        <f>SUM(R72+Q50+S28+O8)</f>
        <v>24770</v>
      </c>
      <c r="C88" s="34">
        <f>SUM(R68+Q47+S25+O5)</f>
        <v>10958</v>
      </c>
      <c r="D88" s="34">
        <f>SUM(R69+Q48+S26+O6)</f>
        <v>9598</v>
      </c>
      <c r="E88" s="34">
        <v>125</v>
      </c>
      <c r="F88" s="34">
        <f>SUM(Q49+S27+R71+O7)</f>
        <v>4089</v>
      </c>
      <c r="G88" s="34"/>
    </row>
    <row r="89" spans="1:13" ht="14.25">
      <c r="A89" s="32" t="s">
        <v>6</v>
      </c>
      <c r="B89" s="35">
        <v>1</v>
      </c>
      <c r="C89" s="36">
        <f>SUM(C88/$B$88)</f>
        <v>0.44238998788857486</v>
      </c>
      <c r="D89" s="36">
        <f>SUM(D88/$B$88)</f>
        <v>0.38748486071861121</v>
      </c>
      <c r="E89" s="36">
        <f>SUM(E88/$B$88)</f>
        <v>5.0464271295922484E-3</v>
      </c>
      <c r="F89" s="36">
        <f>SUM(F88/$B$88)</f>
        <v>0.16507872426322165</v>
      </c>
      <c r="G89" s="36"/>
    </row>
    <row r="90" spans="1:13" ht="14.25">
      <c r="A90" s="32" t="s">
        <v>7</v>
      </c>
      <c r="B90" s="27">
        <v>32</v>
      </c>
      <c r="C90">
        <v>14</v>
      </c>
      <c r="D90">
        <v>13</v>
      </c>
      <c r="E90">
        <v>0</v>
      </c>
      <c r="F90">
        <v>5</v>
      </c>
    </row>
  </sheetData>
  <sortState ref="A67:C85">
    <sortCondition descending="1" ref="C67:C85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70"/>
  <sheetViews>
    <sheetView workbookViewId="0">
      <selection activeCell="N1" sqref="N1"/>
    </sheetView>
  </sheetViews>
  <sheetFormatPr defaultRowHeight="12.75"/>
  <cols>
    <col min="1" max="1" width="23.140625" customWidth="1"/>
    <col min="6" max="6" width="9" customWidth="1"/>
    <col min="13" max="13" width="9.42578125" bestFit="1" customWidth="1"/>
  </cols>
  <sheetData>
    <row r="1" spans="1:13" s="2" customFormat="1" ht="14.25">
      <c r="A1" s="1" t="s">
        <v>477</v>
      </c>
    </row>
    <row r="2" spans="1:13" s="2" customFormat="1" ht="9" customHeight="1" thickBot="1">
      <c r="A2" s="1"/>
    </row>
    <row r="3" spans="1:13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/>
      <c r="J3" s="6" t="s">
        <v>289</v>
      </c>
      <c r="K3" s="39">
        <f>(6284/9820)</f>
        <v>0.63991853360488793</v>
      </c>
    </row>
    <row r="4" spans="1:13" s="2" customFormat="1" ht="15.75" thickBot="1">
      <c r="A4" s="7" t="s">
        <v>359</v>
      </c>
      <c r="B4" s="42" t="s">
        <v>18</v>
      </c>
      <c r="C4" s="9">
        <v>1105</v>
      </c>
      <c r="D4" s="76"/>
      <c r="E4" s="76"/>
      <c r="F4" s="76"/>
      <c r="G4" s="76"/>
      <c r="H4" s="76"/>
      <c r="I4" s="75" t="s">
        <v>4</v>
      </c>
      <c r="J4" s="5"/>
      <c r="K4" s="6" t="s">
        <v>5</v>
      </c>
      <c r="L4" s="6" t="s">
        <v>6</v>
      </c>
      <c r="M4" s="6" t="s">
        <v>7</v>
      </c>
    </row>
    <row r="5" spans="1:13" s="2" customFormat="1" ht="15.75" thickBot="1">
      <c r="A5" s="7" t="s">
        <v>363</v>
      </c>
      <c r="B5" s="42" t="s">
        <v>18</v>
      </c>
      <c r="C5" s="76">
        <v>806</v>
      </c>
      <c r="D5" s="76">
        <v>810</v>
      </c>
      <c r="E5" s="76">
        <v>827</v>
      </c>
      <c r="F5" s="76">
        <v>856</v>
      </c>
      <c r="G5" s="76">
        <v>921</v>
      </c>
      <c r="H5" s="9">
        <v>1008</v>
      </c>
      <c r="I5" s="75" t="s">
        <v>12</v>
      </c>
      <c r="J5" s="13" t="s">
        <v>8</v>
      </c>
      <c r="K5" s="14">
        <f>(C6+C7+C8+C11+C12)</f>
        <v>2943</v>
      </c>
      <c r="L5" s="15">
        <f>SUM(K5/K7)</f>
        <v>0.48261725155788782</v>
      </c>
      <c r="M5" s="5">
        <v>2</v>
      </c>
    </row>
    <row r="6" spans="1:13" s="2" customFormat="1" ht="15.75" thickBot="1">
      <c r="A6" s="7" t="s">
        <v>356</v>
      </c>
      <c r="B6" s="8" t="s">
        <v>8</v>
      </c>
      <c r="C6" s="76">
        <v>762</v>
      </c>
      <c r="D6" s="76">
        <v>797</v>
      </c>
      <c r="E6" s="76">
        <v>813</v>
      </c>
      <c r="F6" s="76">
        <v>894</v>
      </c>
      <c r="G6" s="76">
        <v>942</v>
      </c>
      <c r="H6" s="9">
        <v>1073</v>
      </c>
      <c r="I6" s="75" t="s">
        <v>9</v>
      </c>
      <c r="J6" s="26" t="s">
        <v>17</v>
      </c>
      <c r="K6" s="38">
        <f>(C4+C5+C9+C10+C13)</f>
        <v>3155</v>
      </c>
      <c r="L6" s="39">
        <f>SUM(K6/K7)</f>
        <v>0.51738274844211218</v>
      </c>
      <c r="M6" s="2">
        <v>3</v>
      </c>
    </row>
    <row r="7" spans="1:13" s="2" customFormat="1" ht="15.75" thickBot="1">
      <c r="A7" s="7" t="s">
        <v>425</v>
      </c>
      <c r="B7" s="8" t="s">
        <v>8</v>
      </c>
      <c r="C7" s="76">
        <v>734</v>
      </c>
      <c r="D7" s="76">
        <v>833</v>
      </c>
      <c r="E7" s="76">
        <v>834</v>
      </c>
      <c r="F7" s="76">
        <v>837</v>
      </c>
      <c r="G7" s="76">
        <v>902</v>
      </c>
      <c r="H7" s="9">
        <v>933</v>
      </c>
      <c r="I7" s="75" t="s">
        <v>15</v>
      </c>
      <c r="K7" s="22">
        <v>6098</v>
      </c>
    </row>
    <row r="8" spans="1:13" s="2" customFormat="1" ht="15.75" thickBot="1">
      <c r="A8" s="17" t="s">
        <v>436</v>
      </c>
      <c r="B8" s="23" t="s">
        <v>8</v>
      </c>
      <c r="C8" s="76">
        <v>574</v>
      </c>
      <c r="D8" s="76">
        <v>597</v>
      </c>
      <c r="E8" s="76">
        <v>608</v>
      </c>
      <c r="F8" s="76">
        <v>671</v>
      </c>
      <c r="G8" s="76">
        <v>690</v>
      </c>
      <c r="H8" s="76" t="s">
        <v>16</v>
      </c>
    </row>
    <row r="9" spans="1:13" s="2" customFormat="1" ht="15.75" thickBot="1">
      <c r="A9" s="17" t="s">
        <v>478</v>
      </c>
      <c r="B9" s="41" t="s">
        <v>18</v>
      </c>
      <c r="C9" s="76">
        <v>515</v>
      </c>
      <c r="D9" s="76">
        <v>521</v>
      </c>
      <c r="E9" s="76">
        <v>537</v>
      </c>
      <c r="F9" s="76">
        <v>557</v>
      </c>
      <c r="G9" s="76">
        <v>732</v>
      </c>
      <c r="H9" s="76">
        <v>761</v>
      </c>
      <c r="I9" s="75"/>
    </row>
    <row r="10" spans="1:13" s="2" customFormat="1" ht="15.75" thickBot="1">
      <c r="A10" s="7" t="s">
        <v>426</v>
      </c>
      <c r="B10" s="42" t="s">
        <v>18</v>
      </c>
      <c r="C10" s="76">
        <v>507</v>
      </c>
      <c r="D10" s="76">
        <v>543</v>
      </c>
      <c r="E10" s="76">
        <v>547</v>
      </c>
      <c r="F10" s="76">
        <v>715</v>
      </c>
      <c r="G10" s="76">
        <v>728</v>
      </c>
      <c r="H10" s="9">
        <v>997</v>
      </c>
      <c r="I10" s="75" t="s">
        <v>10</v>
      </c>
    </row>
    <row r="11" spans="1:13" s="2" customFormat="1" ht="15.75" thickBot="1">
      <c r="A11" s="17" t="s">
        <v>590</v>
      </c>
      <c r="B11" s="23" t="s">
        <v>8</v>
      </c>
      <c r="C11" s="76">
        <v>480</v>
      </c>
      <c r="D11" s="76">
        <v>480</v>
      </c>
      <c r="E11" s="76">
        <v>500</v>
      </c>
      <c r="F11" s="76">
        <v>505</v>
      </c>
      <c r="G11" s="76" t="s">
        <v>16</v>
      </c>
    </row>
    <row r="12" spans="1:13" s="2" customFormat="1" ht="15.75" thickBot="1">
      <c r="A12" s="17" t="s">
        <v>479</v>
      </c>
      <c r="B12" s="23" t="s">
        <v>8</v>
      </c>
      <c r="C12" s="76">
        <v>393</v>
      </c>
      <c r="D12" s="76">
        <v>397</v>
      </c>
      <c r="E12" s="76">
        <v>400</v>
      </c>
      <c r="F12" s="76" t="s">
        <v>16</v>
      </c>
    </row>
    <row r="13" spans="1:13" s="2" customFormat="1" ht="15.75" thickBot="1">
      <c r="A13" s="17" t="s">
        <v>39</v>
      </c>
      <c r="B13" s="41" t="s">
        <v>18</v>
      </c>
      <c r="C13" s="76">
        <v>222</v>
      </c>
      <c r="D13" s="76" t="s">
        <v>16</v>
      </c>
    </row>
    <row r="14" spans="1:13" s="2" customFormat="1" ht="14.25">
      <c r="C14" s="38"/>
      <c r="D14" s="38"/>
      <c r="E14" s="38"/>
      <c r="F14" s="38"/>
      <c r="G14" s="38"/>
      <c r="H14" s="38"/>
      <c r="I14" s="38"/>
    </row>
    <row r="15" spans="1:13" s="2" customFormat="1" ht="14.25">
      <c r="A15" s="1" t="s">
        <v>493</v>
      </c>
    </row>
    <row r="16" spans="1:13" s="2" customFormat="1" ht="9.75" customHeight="1" thickBot="1">
      <c r="A16" s="1"/>
    </row>
    <row r="17" spans="1:21" s="2" customFormat="1" ht="15.75" thickBot="1">
      <c r="A17" s="3" t="s">
        <v>0</v>
      </c>
      <c r="B17" s="4" t="s">
        <v>1</v>
      </c>
      <c r="C17" s="4" t="s">
        <v>2</v>
      </c>
      <c r="D17" s="4">
        <v>2</v>
      </c>
      <c r="E17" s="4">
        <v>3</v>
      </c>
      <c r="F17" s="4">
        <v>4</v>
      </c>
      <c r="G17" s="4">
        <v>5</v>
      </c>
      <c r="H17" s="4">
        <v>6</v>
      </c>
      <c r="I17" s="4">
        <v>7</v>
      </c>
      <c r="J17" s="4">
        <v>8</v>
      </c>
      <c r="K17" s="4">
        <v>9</v>
      </c>
      <c r="L17" s="4">
        <v>10</v>
      </c>
      <c r="M17" s="4">
        <v>11</v>
      </c>
      <c r="N17" s="4">
        <v>12</v>
      </c>
      <c r="O17" s="4">
        <v>13</v>
      </c>
      <c r="P17" s="4">
        <v>14</v>
      </c>
      <c r="Q17" s="4"/>
      <c r="R17" s="6" t="s">
        <v>289</v>
      </c>
      <c r="S17" s="39">
        <f>(6442/12787)</f>
        <v>0.5037929146789708</v>
      </c>
    </row>
    <row r="18" spans="1:21" s="2" customFormat="1" ht="15.75" thickBot="1">
      <c r="A18" s="7" t="s">
        <v>301</v>
      </c>
      <c r="B18" s="42" t="s">
        <v>18</v>
      </c>
      <c r="C18" s="9">
        <v>1041</v>
      </c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5" t="s">
        <v>4</v>
      </c>
      <c r="R18" s="5"/>
      <c r="S18" s="6" t="s">
        <v>5</v>
      </c>
      <c r="T18" s="6" t="s">
        <v>6</v>
      </c>
      <c r="U18" s="6" t="s">
        <v>7</v>
      </c>
    </row>
    <row r="19" spans="1:21" s="2" customFormat="1" ht="15.75" thickBot="1">
      <c r="A19" s="7" t="s">
        <v>480</v>
      </c>
      <c r="B19" s="96" t="s">
        <v>367</v>
      </c>
      <c r="C19" s="76">
        <v>646</v>
      </c>
      <c r="D19" s="76">
        <v>667</v>
      </c>
      <c r="E19" s="76">
        <v>669</v>
      </c>
      <c r="F19" s="76">
        <v>673</v>
      </c>
      <c r="G19" s="76">
        <v>673</v>
      </c>
      <c r="H19" s="76">
        <v>677</v>
      </c>
      <c r="I19" s="76">
        <v>722</v>
      </c>
      <c r="J19" s="76">
        <v>732</v>
      </c>
      <c r="K19" s="76">
        <v>737</v>
      </c>
      <c r="L19" s="76">
        <v>738</v>
      </c>
      <c r="M19" s="9">
        <v>874</v>
      </c>
      <c r="N19" s="76"/>
      <c r="O19" s="76"/>
      <c r="P19" s="76"/>
      <c r="Q19" s="75" t="s">
        <v>9</v>
      </c>
      <c r="R19" s="13" t="s">
        <v>8</v>
      </c>
      <c r="S19" s="14">
        <f>(C22+C26+C27+C29+C32+C31)</f>
        <v>1647</v>
      </c>
      <c r="T19" s="15">
        <f>SUM(S19/S23)</f>
        <v>0.26411161000641437</v>
      </c>
      <c r="U19" s="5">
        <v>2</v>
      </c>
    </row>
    <row r="20" spans="1:21" s="2" customFormat="1" ht="15.75" thickBot="1">
      <c r="A20" s="7" t="s">
        <v>481</v>
      </c>
      <c r="B20" s="96" t="s">
        <v>367</v>
      </c>
      <c r="C20" s="76">
        <v>642</v>
      </c>
      <c r="D20" s="76">
        <v>648</v>
      </c>
      <c r="E20" s="76">
        <v>650</v>
      </c>
      <c r="F20" s="76">
        <v>652</v>
      </c>
      <c r="G20" s="76">
        <v>652</v>
      </c>
      <c r="H20" s="76">
        <v>654</v>
      </c>
      <c r="I20" s="76">
        <v>679</v>
      </c>
      <c r="J20" s="76">
        <v>685</v>
      </c>
      <c r="K20" s="76">
        <v>688</v>
      </c>
      <c r="L20" s="76">
        <v>693</v>
      </c>
      <c r="M20" s="76">
        <v>756</v>
      </c>
      <c r="N20" s="9">
        <v>813</v>
      </c>
      <c r="O20" s="76"/>
      <c r="P20" s="76"/>
      <c r="Q20" s="75" t="s">
        <v>12</v>
      </c>
      <c r="R20" s="93" t="s">
        <v>367</v>
      </c>
      <c r="S20" s="14">
        <f>(C19+C20+C23)</f>
        <v>1681</v>
      </c>
      <c r="T20" s="15">
        <f>SUM(S20/S23)</f>
        <v>0.26956382296343812</v>
      </c>
      <c r="U20" s="5">
        <v>2</v>
      </c>
    </row>
    <row r="21" spans="1:21" s="2" customFormat="1" ht="15.75" thickBot="1">
      <c r="A21" s="7" t="s">
        <v>484</v>
      </c>
      <c r="B21" s="42" t="s">
        <v>18</v>
      </c>
      <c r="C21" s="76">
        <v>476</v>
      </c>
      <c r="D21" s="76">
        <v>490</v>
      </c>
      <c r="E21" s="76">
        <v>492</v>
      </c>
      <c r="F21" s="76">
        <v>495</v>
      </c>
      <c r="G21" s="76">
        <v>496</v>
      </c>
      <c r="H21" s="76">
        <v>504</v>
      </c>
      <c r="I21" s="76">
        <v>505</v>
      </c>
      <c r="J21" s="76">
        <v>506</v>
      </c>
      <c r="K21" s="76">
        <v>512</v>
      </c>
      <c r="L21" s="76">
        <v>634</v>
      </c>
      <c r="M21" s="76">
        <v>735</v>
      </c>
      <c r="N21" s="76">
        <v>739</v>
      </c>
      <c r="O21" s="76">
        <v>743</v>
      </c>
      <c r="P21" s="9">
        <v>743</v>
      </c>
      <c r="Q21" s="75" t="s">
        <v>10</v>
      </c>
      <c r="R21" s="21" t="s">
        <v>13</v>
      </c>
      <c r="S21" s="14">
        <f>(C28+C30+C35+C34)</f>
        <v>563</v>
      </c>
      <c r="T21" s="15">
        <f>SUM(S21/S23)</f>
        <v>9.0282232200128293E-2</v>
      </c>
      <c r="U21" s="5">
        <v>1</v>
      </c>
    </row>
    <row r="22" spans="1:21" s="2" customFormat="1" ht="15.75" thickBot="1">
      <c r="A22" s="7" t="s">
        <v>605</v>
      </c>
      <c r="B22" s="8" t="s">
        <v>8</v>
      </c>
      <c r="C22" s="76">
        <v>437</v>
      </c>
      <c r="D22" s="76">
        <v>471</v>
      </c>
      <c r="E22" s="76">
        <v>473</v>
      </c>
      <c r="F22" s="76">
        <v>475</v>
      </c>
      <c r="G22" s="76">
        <v>482</v>
      </c>
      <c r="H22" s="76">
        <v>490</v>
      </c>
      <c r="I22" s="76">
        <v>509</v>
      </c>
      <c r="J22" s="76">
        <v>516</v>
      </c>
      <c r="K22" s="76">
        <v>560</v>
      </c>
      <c r="L22" s="76">
        <v>570</v>
      </c>
      <c r="M22" s="76">
        <v>586</v>
      </c>
      <c r="N22" s="76">
        <v>594</v>
      </c>
      <c r="O22" s="76">
        <v>595</v>
      </c>
      <c r="P22" s="9">
        <v>671</v>
      </c>
      <c r="Q22" s="75" t="s">
        <v>15</v>
      </c>
      <c r="R22" s="26" t="s">
        <v>17</v>
      </c>
      <c r="S22" s="14">
        <f>(C18+C21+C24+C25+C33)</f>
        <v>2345</v>
      </c>
      <c r="T22" s="15">
        <f>SUM(S22/S23)</f>
        <v>0.37604233483001925</v>
      </c>
      <c r="U22" s="5">
        <v>2</v>
      </c>
    </row>
    <row r="23" spans="1:21" s="2" customFormat="1" ht="15.75" thickBot="1">
      <c r="A23" s="17" t="s">
        <v>490</v>
      </c>
      <c r="B23" s="95" t="s">
        <v>367</v>
      </c>
      <c r="C23" s="76">
        <v>393</v>
      </c>
      <c r="D23" s="76">
        <v>395</v>
      </c>
      <c r="E23" s="76">
        <v>396</v>
      </c>
      <c r="F23" s="76">
        <v>397</v>
      </c>
      <c r="G23" s="76">
        <v>397</v>
      </c>
      <c r="H23" s="76">
        <v>399</v>
      </c>
      <c r="I23" s="76">
        <v>403</v>
      </c>
      <c r="J23" s="76">
        <v>404</v>
      </c>
      <c r="K23" s="76">
        <v>407</v>
      </c>
      <c r="L23" s="76">
        <v>427</v>
      </c>
      <c r="M23" s="76" t="s">
        <v>16</v>
      </c>
      <c r="S23" s="22">
        <v>6236</v>
      </c>
    </row>
    <row r="24" spans="1:21" s="2" customFormat="1" ht="15.75" thickBot="1">
      <c r="A24" s="17" t="s">
        <v>487</v>
      </c>
      <c r="B24" s="41" t="s">
        <v>18</v>
      </c>
      <c r="C24" s="76">
        <v>376</v>
      </c>
      <c r="D24" s="76">
        <v>413</v>
      </c>
      <c r="E24" s="76">
        <v>416</v>
      </c>
      <c r="F24" s="76">
        <v>425</v>
      </c>
      <c r="G24" s="76">
        <v>439</v>
      </c>
      <c r="H24" s="76">
        <v>462</v>
      </c>
      <c r="I24" s="76">
        <v>473</v>
      </c>
      <c r="J24" s="76">
        <v>512</v>
      </c>
      <c r="K24" s="76">
        <v>520</v>
      </c>
      <c r="L24" s="76">
        <v>530</v>
      </c>
      <c r="M24" s="76">
        <v>544</v>
      </c>
      <c r="N24" s="76">
        <v>546</v>
      </c>
      <c r="O24" s="76">
        <v>551</v>
      </c>
      <c r="P24" s="76">
        <v>588</v>
      </c>
      <c r="Q24" s="9"/>
    </row>
    <row r="25" spans="1:21" s="2" customFormat="1" ht="15.75" thickBot="1">
      <c r="A25" s="17" t="s">
        <v>482</v>
      </c>
      <c r="B25" s="41" t="s">
        <v>18</v>
      </c>
      <c r="C25" s="76">
        <v>370</v>
      </c>
      <c r="D25" s="76">
        <v>371</v>
      </c>
      <c r="E25" s="76">
        <v>372</v>
      </c>
      <c r="F25" s="76">
        <v>374</v>
      </c>
      <c r="G25" s="76">
        <v>375</v>
      </c>
      <c r="H25" s="76">
        <v>375</v>
      </c>
      <c r="I25" s="76">
        <v>378</v>
      </c>
      <c r="J25" s="76">
        <v>379</v>
      </c>
      <c r="K25" s="76">
        <v>399</v>
      </c>
      <c r="L25" s="76" t="s">
        <v>16</v>
      </c>
    </row>
    <row r="26" spans="1:21" s="2" customFormat="1" ht="15.75" thickBot="1">
      <c r="A26" s="7" t="s">
        <v>374</v>
      </c>
      <c r="B26" s="8" t="s">
        <v>8</v>
      </c>
      <c r="C26" s="76">
        <v>367</v>
      </c>
      <c r="D26" s="76">
        <v>404</v>
      </c>
      <c r="E26" s="76">
        <v>406</v>
      </c>
      <c r="F26" s="76">
        <v>413</v>
      </c>
      <c r="G26" s="76">
        <v>424</v>
      </c>
      <c r="H26" s="76">
        <v>448</v>
      </c>
      <c r="I26" s="76">
        <v>485</v>
      </c>
      <c r="J26" s="76">
        <v>520</v>
      </c>
      <c r="K26" s="76">
        <v>537</v>
      </c>
      <c r="L26" s="76">
        <v>538</v>
      </c>
      <c r="M26" s="76">
        <v>581</v>
      </c>
      <c r="N26" s="76">
        <v>597</v>
      </c>
      <c r="O26" s="76">
        <v>603</v>
      </c>
      <c r="P26" s="9">
        <v>621</v>
      </c>
      <c r="Q26" s="9" t="s">
        <v>14</v>
      </c>
    </row>
    <row r="27" spans="1:21" s="2" customFormat="1" ht="15.75" thickBot="1">
      <c r="A27" s="17" t="s">
        <v>488</v>
      </c>
      <c r="B27" s="23" t="s">
        <v>8</v>
      </c>
      <c r="C27" s="76">
        <v>326</v>
      </c>
      <c r="D27" s="76">
        <v>344</v>
      </c>
      <c r="E27" s="76">
        <v>345</v>
      </c>
      <c r="F27" s="76">
        <v>347</v>
      </c>
      <c r="G27" s="76">
        <v>348</v>
      </c>
      <c r="H27" s="76">
        <v>350</v>
      </c>
      <c r="I27" s="76">
        <v>351</v>
      </c>
      <c r="J27" s="76">
        <v>356</v>
      </c>
      <c r="K27" s="76">
        <v>404</v>
      </c>
      <c r="L27" s="76">
        <v>471</v>
      </c>
      <c r="M27" s="76">
        <v>474</v>
      </c>
      <c r="N27" s="76">
        <v>477</v>
      </c>
      <c r="O27" s="76">
        <v>479</v>
      </c>
      <c r="P27" s="76" t="s">
        <v>16</v>
      </c>
    </row>
    <row r="28" spans="1:21" s="2" customFormat="1" ht="15.75" thickBot="1">
      <c r="A28" s="7" t="s">
        <v>483</v>
      </c>
      <c r="B28" s="97" t="s">
        <v>13</v>
      </c>
      <c r="C28" s="76">
        <v>296</v>
      </c>
      <c r="D28" s="76">
        <v>306</v>
      </c>
      <c r="E28" s="76">
        <v>307</v>
      </c>
      <c r="F28" s="76">
        <v>313</v>
      </c>
      <c r="G28" s="76">
        <v>319</v>
      </c>
      <c r="H28" s="76">
        <v>326</v>
      </c>
      <c r="I28" s="76">
        <v>330</v>
      </c>
      <c r="J28" s="76">
        <v>390</v>
      </c>
      <c r="K28" s="76">
        <v>465</v>
      </c>
      <c r="L28" s="76">
        <v>485</v>
      </c>
      <c r="M28" s="76">
        <v>495</v>
      </c>
      <c r="N28" s="76">
        <v>497</v>
      </c>
      <c r="O28" s="76">
        <v>498</v>
      </c>
      <c r="P28" s="9">
        <v>601</v>
      </c>
      <c r="Q28" s="9" t="s">
        <v>57</v>
      </c>
    </row>
    <row r="29" spans="1:21" s="2" customFormat="1" ht="15.75" thickBot="1">
      <c r="A29" s="17" t="s">
        <v>485</v>
      </c>
      <c r="B29" s="23" t="s">
        <v>8</v>
      </c>
      <c r="C29" s="76">
        <v>245</v>
      </c>
      <c r="D29" s="76">
        <v>247</v>
      </c>
      <c r="E29" s="76">
        <v>247</v>
      </c>
      <c r="F29" s="76">
        <v>248</v>
      </c>
      <c r="G29" s="76">
        <v>248</v>
      </c>
      <c r="H29" s="76">
        <v>255</v>
      </c>
      <c r="I29" s="76">
        <v>266</v>
      </c>
      <c r="J29" s="76">
        <v>269</v>
      </c>
      <c r="K29" s="76" t="s">
        <v>16</v>
      </c>
      <c r="L29" s="38"/>
      <c r="M29" s="38"/>
      <c r="N29" s="38"/>
    </row>
    <row r="30" spans="1:21" s="2" customFormat="1" ht="15.75" thickBot="1">
      <c r="A30" s="17" t="s">
        <v>492</v>
      </c>
      <c r="B30" s="24" t="s">
        <v>13</v>
      </c>
      <c r="C30" s="76">
        <v>185</v>
      </c>
      <c r="D30" s="76">
        <v>207</v>
      </c>
      <c r="E30" s="76">
        <v>208</v>
      </c>
      <c r="F30" s="76">
        <v>225</v>
      </c>
      <c r="G30" s="76">
        <v>247</v>
      </c>
      <c r="H30" s="76">
        <v>257</v>
      </c>
      <c r="I30" s="76">
        <v>260</v>
      </c>
      <c r="J30" s="76" t="s">
        <v>16</v>
      </c>
    </row>
    <row r="31" spans="1:21" s="2" customFormat="1" ht="15.75" thickBot="1">
      <c r="A31" s="17" t="s">
        <v>31</v>
      </c>
      <c r="B31" s="23" t="s">
        <v>8</v>
      </c>
      <c r="C31" s="76">
        <v>168</v>
      </c>
      <c r="D31" s="76">
        <v>176</v>
      </c>
      <c r="E31" s="76">
        <v>178</v>
      </c>
      <c r="F31" s="76">
        <v>180</v>
      </c>
      <c r="G31" s="76">
        <v>184</v>
      </c>
      <c r="H31" s="76">
        <v>194</v>
      </c>
      <c r="I31" s="76" t="s">
        <v>16</v>
      </c>
    </row>
    <row r="32" spans="1:21" s="2" customFormat="1" ht="15.75" thickBot="1">
      <c r="A32" s="17" t="s">
        <v>489</v>
      </c>
      <c r="B32" s="23" t="s">
        <v>8</v>
      </c>
      <c r="C32" s="76">
        <v>104</v>
      </c>
      <c r="D32" s="76">
        <v>124</v>
      </c>
      <c r="E32" s="76">
        <v>129</v>
      </c>
      <c r="F32" s="76">
        <v>130</v>
      </c>
      <c r="G32" s="76">
        <v>139</v>
      </c>
      <c r="H32" s="76" t="s">
        <v>16</v>
      </c>
    </row>
    <row r="33" spans="1:13" s="2" customFormat="1" ht="15.75" thickBot="1">
      <c r="A33" s="17" t="s">
        <v>486</v>
      </c>
      <c r="B33" s="41" t="s">
        <v>447</v>
      </c>
      <c r="C33" s="76">
        <v>82</v>
      </c>
      <c r="D33" s="76">
        <v>88</v>
      </c>
      <c r="E33" s="76">
        <v>89</v>
      </c>
      <c r="F33" s="76">
        <v>90</v>
      </c>
      <c r="G33" s="76" t="s">
        <v>16</v>
      </c>
    </row>
    <row r="34" spans="1:13" s="2" customFormat="1" ht="15.75" thickBot="1">
      <c r="A34" s="17" t="s">
        <v>284</v>
      </c>
      <c r="B34" s="24" t="s">
        <v>13</v>
      </c>
      <c r="C34" s="76">
        <v>55</v>
      </c>
      <c r="D34" s="76">
        <v>70</v>
      </c>
      <c r="E34" s="76">
        <v>72</v>
      </c>
      <c r="F34" s="76" t="s">
        <v>16</v>
      </c>
    </row>
    <row r="35" spans="1:13" s="2" customFormat="1" ht="15.75" thickBot="1">
      <c r="A35" s="17" t="s">
        <v>491</v>
      </c>
      <c r="B35" s="24" t="s">
        <v>13</v>
      </c>
      <c r="C35" s="76">
        <v>27</v>
      </c>
      <c r="D35" s="76">
        <v>35</v>
      </c>
      <c r="E35" s="76" t="s">
        <v>16</v>
      </c>
      <c r="H35" s="38"/>
      <c r="I35" s="38"/>
      <c r="J35" s="38"/>
    </row>
    <row r="36" spans="1:13" s="2" customFormat="1" ht="14.25">
      <c r="C36" s="38"/>
      <c r="D36" s="38"/>
      <c r="E36" s="38"/>
      <c r="F36" s="38"/>
      <c r="G36" s="38"/>
      <c r="H36" s="38"/>
      <c r="I36" s="38"/>
      <c r="J36" s="38"/>
    </row>
    <row r="37" spans="1:13" s="2" customFormat="1" ht="14.25">
      <c r="A37" s="1" t="s">
        <v>495</v>
      </c>
    </row>
    <row r="38" spans="1:13" s="2" customFormat="1" ht="9" customHeight="1" thickBot="1">
      <c r="A38" s="1"/>
    </row>
    <row r="39" spans="1:13" s="2" customFormat="1" ht="15.75" thickBot="1">
      <c r="A39" s="3" t="s">
        <v>0</v>
      </c>
      <c r="B39" s="4" t="s">
        <v>1</v>
      </c>
      <c r="C39" s="4" t="s">
        <v>2</v>
      </c>
      <c r="D39" s="4">
        <v>2</v>
      </c>
      <c r="E39" s="4">
        <v>3</v>
      </c>
      <c r="F39" s="4">
        <v>4</v>
      </c>
      <c r="G39" s="4">
        <v>5</v>
      </c>
      <c r="H39" s="4">
        <v>6</v>
      </c>
      <c r="I39" s="4"/>
      <c r="J39" s="6" t="s">
        <v>289</v>
      </c>
      <c r="K39" s="39">
        <f>(6328/12532)</f>
        <v>0.50494733482285348</v>
      </c>
    </row>
    <row r="40" spans="1:13" s="2" customFormat="1" ht="15.75" thickBot="1">
      <c r="A40" s="7" t="s">
        <v>308</v>
      </c>
      <c r="B40" s="42" t="s">
        <v>18</v>
      </c>
      <c r="C40" s="9">
        <v>1546</v>
      </c>
      <c r="D40" s="76"/>
      <c r="E40" s="76"/>
      <c r="F40" s="76"/>
      <c r="G40" s="76"/>
      <c r="H40" s="76"/>
      <c r="I40" s="75" t="s">
        <v>4</v>
      </c>
      <c r="J40" s="5"/>
      <c r="K40" s="6" t="s">
        <v>5</v>
      </c>
      <c r="L40" s="6" t="s">
        <v>6</v>
      </c>
      <c r="M40" s="6" t="s">
        <v>7</v>
      </c>
    </row>
    <row r="41" spans="1:13" s="2" customFormat="1" ht="15.75" thickBot="1">
      <c r="A41" s="7" t="s">
        <v>494</v>
      </c>
      <c r="B41" s="8" t="s">
        <v>8</v>
      </c>
      <c r="C41" s="9">
        <v>981</v>
      </c>
      <c r="D41" s="76"/>
      <c r="E41" s="76"/>
      <c r="F41" s="76"/>
      <c r="G41" s="76"/>
      <c r="H41" s="76"/>
      <c r="I41" s="75" t="s">
        <v>9</v>
      </c>
      <c r="J41" s="13" t="s">
        <v>8</v>
      </c>
      <c r="K41" s="14">
        <f>(C41+C42+C44+C47)</f>
        <v>2679</v>
      </c>
      <c r="L41" s="15">
        <f>SUM(K41/K43)</f>
        <v>0.44972301494040623</v>
      </c>
      <c r="M41" s="5">
        <v>4</v>
      </c>
    </row>
    <row r="42" spans="1:13" s="2" customFormat="1" ht="15.75" thickBot="1">
      <c r="A42" s="7" t="s">
        <v>62</v>
      </c>
      <c r="B42" s="8" t="s">
        <v>8</v>
      </c>
      <c r="C42" s="76">
        <v>736</v>
      </c>
      <c r="D42" s="9">
        <v>825</v>
      </c>
      <c r="E42" s="76"/>
      <c r="F42" s="76"/>
      <c r="G42" s="76"/>
      <c r="H42" s="76"/>
      <c r="I42" s="75" t="s">
        <v>10</v>
      </c>
      <c r="J42" s="6" t="s">
        <v>17</v>
      </c>
      <c r="K42" s="38">
        <f>(C40+C43+C45+C46+C48)</f>
        <v>3278</v>
      </c>
      <c r="L42" s="39">
        <f>SUM(K42/K43)</f>
        <v>0.55027698505959377</v>
      </c>
      <c r="M42" s="2">
        <v>3</v>
      </c>
    </row>
    <row r="43" spans="1:13" s="2" customFormat="1" ht="15.75" thickBot="1">
      <c r="A43" s="7" t="s">
        <v>386</v>
      </c>
      <c r="B43" s="42" t="s">
        <v>18</v>
      </c>
      <c r="C43" s="76">
        <v>658</v>
      </c>
      <c r="D43" s="76">
        <v>705</v>
      </c>
      <c r="E43" s="76">
        <v>726</v>
      </c>
      <c r="F43" s="76">
        <v>741</v>
      </c>
      <c r="G43" s="9">
        <v>765</v>
      </c>
      <c r="H43" s="76"/>
      <c r="I43" s="75" t="s">
        <v>14</v>
      </c>
      <c r="K43" s="22">
        <v>5957</v>
      </c>
    </row>
    <row r="44" spans="1:13" s="2" customFormat="1" ht="15.75" thickBot="1">
      <c r="A44" s="7" t="s">
        <v>454</v>
      </c>
      <c r="B44" s="8" t="s">
        <v>8</v>
      </c>
      <c r="C44" s="76">
        <v>636</v>
      </c>
      <c r="D44" s="76">
        <v>703</v>
      </c>
      <c r="E44" s="9">
        <v>789</v>
      </c>
      <c r="F44" s="76"/>
      <c r="G44" s="76"/>
      <c r="H44" s="76"/>
      <c r="I44" s="11" t="s">
        <v>15</v>
      </c>
    </row>
    <row r="45" spans="1:13" s="2" customFormat="1" ht="15.75" thickBot="1">
      <c r="A45" s="17" t="s">
        <v>583</v>
      </c>
      <c r="B45" s="41" t="s">
        <v>18</v>
      </c>
      <c r="C45" s="76">
        <v>477</v>
      </c>
      <c r="D45" s="76">
        <v>504</v>
      </c>
      <c r="E45" s="76">
        <v>516</v>
      </c>
      <c r="F45" s="76">
        <v>522</v>
      </c>
      <c r="G45" s="76">
        <v>545</v>
      </c>
      <c r="H45" s="76">
        <v>568</v>
      </c>
      <c r="I45" s="75"/>
    </row>
    <row r="46" spans="1:13" s="2" customFormat="1" ht="15.75" thickBot="1">
      <c r="A46" s="7" t="s">
        <v>309</v>
      </c>
      <c r="B46" s="42" t="s">
        <v>18</v>
      </c>
      <c r="C46" s="76">
        <v>422</v>
      </c>
      <c r="D46" s="9">
        <v>835</v>
      </c>
      <c r="E46" s="76"/>
      <c r="F46" s="76"/>
      <c r="G46" s="76"/>
      <c r="H46" s="76"/>
      <c r="I46" s="75" t="s">
        <v>12</v>
      </c>
    </row>
    <row r="47" spans="1:13" s="2" customFormat="1" ht="15.75" thickBot="1">
      <c r="A47" s="7" t="s">
        <v>334</v>
      </c>
      <c r="B47" s="8" t="s">
        <v>8</v>
      </c>
      <c r="C47" s="76">
        <v>326</v>
      </c>
      <c r="D47" s="76">
        <v>443</v>
      </c>
      <c r="E47" s="76">
        <v>536</v>
      </c>
      <c r="F47" s="76">
        <v>559</v>
      </c>
      <c r="G47" s="76">
        <v>602</v>
      </c>
      <c r="H47" s="9">
        <v>624</v>
      </c>
      <c r="I47" s="75" t="s">
        <v>57</v>
      </c>
    </row>
    <row r="48" spans="1:13" s="2" customFormat="1" ht="15.75" thickBot="1">
      <c r="A48" s="17" t="s">
        <v>496</v>
      </c>
      <c r="B48" s="41" t="s">
        <v>18</v>
      </c>
      <c r="C48" s="76">
        <v>175</v>
      </c>
      <c r="D48" s="76">
        <v>216</v>
      </c>
      <c r="E48" s="76">
        <v>240</v>
      </c>
      <c r="F48" s="76" t="s">
        <v>16</v>
      </c>
    </row>
    <row r="49" spans="1:15" s="2" customFormat="1" ht="14.25">
      <c r="C49" s="38"/>
      <c r="F49" s="38"/>
    </row>
    <row r="50" spans="1:15" s="2" customFormat="1" ht="14.25">
      <c r="A50" s="1" t="s">
        <v>504</v>
      </c>
    </row>
    <row r="51" spans="1:15" s="2" customFormat="1" ht="9.75" customHeight="1" thickBot="1">
      <c r="A51" s="1"/>
    </row>
    <row r="52" spans="1:15" s="2" customFormat="1" ht="15.75" thickBot="1">
      <c r="A52" s="3" t="s">
        <v>0</v>
      </c>
      <c r="B52" s="4" t="s">
        <v>1</v>
      </c>
      <c r="C52" s="4" t="s">
        <v>2</v>
      </c>
      <c r="D52" s="4">
        <v>2</v>
      </c>
      <c r="E52" s="4">
        <v>3</v>
      </c>
      <c r="F52" s="4">
        <v>4</v>
      </c>
      <c r="G52" s="4">
        <v>5</v>
      </c>
      <c r="H52" s="4">
        <v>6</v>
      </c>
      <c r="I52" s="4">
        <v>7</v>
      </c>
      <c r="J52" s="4">
        <v>8</v>
      </c>
      <c r="K52" s="4"/>
      <c r="L52" s="6" t="s">
        <v>289</v>
      </c>
      <c r="M52" s="39">
        <f>(6563/11398)</f>
        <v>0.57580277241621336</v>
      </c>
    </row>
    <row r="53" spans="1:15" s="2" customFormat="1" ht="15.75" thickBot="1">
      <c r="A53" s="7" t="s">
        <v>397</v>
      </c>
      <c r="B53" s="42" t="s">
        <v>18</v>
      </c>
      <c r="C53" s="9">
        <v>985</v>
      </c>
      <c r="D53" s="76"/>
      <c r="E53" s="76"/>
      <c r="F53" s="76"/>
      <c r="G53" s="76"/>
      <c r="H53" s="76"/>
      <c r="I53" s="76"/>
      <c r="J53" s="76"/>
      <c r="K53" s="11" t="s">
        <v>4</v>
      </c>
      <c r="L53" s="5"/>
      <c r="M53" s="6" t="s">
        <v>5</v>
      </c>
      <c r="N53" s="6" t="s">
        <v>6</v>
      </c>
      <c r="O53" s="6" t="s">
        <v>7</v>
      </c>
    </row>
    <row r="54" spans="1:15" s="2" customFormat="1" ht="15.75" thickBot="1">
      <c r="A54" s="7" t="s">
        <v>497</v>
      </c>
      <c r="B54" s="42" t="s">
        <v>18</v>
      </c>
      <c r="C54" s="9">
        <v>910</v>
      </c>
      <c r="D54" s="76"/>
      <c r="E54" s="76"/>
      <c r="F54" s="76"/>
      <c r="G54" s="76"/>
      <c r="H54" s="76"/>
      <c r="I54" s="76"/>
      <c r="J54" s="76"/>
      <c r="K54" s="11" t="s">
        <v>9</v>
      </c>
      <c r="L54" s="13" t="s">
        <v>8</v>
      </c>
      <c r="M54" s="14">
        <f>(C59+C60+C63)</f>
        <v>1037</v>
      </c>
      <c r="N54" s="15">
        <f>SUM(M54/M58)</f>
        <v>0.16346153846153846</v>
      </c>
      <c r="O54" s="5"/>
    </row>
    <row r="55" spans="1:15" s="2" customFormat="1" ht="15.75" thickBot="1">
      <c r="A55" s="7" t="s">
        <v>498</v>
      </c>
      <c r="B55" s="42" t="s">
        <v>18</v>
      </c>
      <c r="C55" s="76">
        <v>741</v>
      </c>
      <c r="D55" s="76">
        <v>778</v>
      </c>
      <c r="E55" s="76">
        <v>792</v>
      </c>
      <c r="F55" s="76">
        <v>810</v>
      </c>
      <c r="G55" s="76">
        <v>815</v>
      </c>
      <c r="H55" s="76">
        <v>830</v>
      </c>
      <c r="I55" s="76">
        <v>893</v>
      </c>
      <c r="J55" s="9">
        <v>989</v>
      </c>
      <c r="K55" s="11" t="s">
        <v>12</v>
      </c>
      <c r="L55" s="93" t="s">
        <v>367</v>
      </c>
      <c r="M55" s="38">
        <v>590</v>
      </c>
      <c r="N55" s="39">
        <f>SUM(M55/M58)</f>
        <v>9.3001261034047919E-2</v>
      </c>
      <c r="O55" s="2">
        <v>1</v>
      </c>
    </row>
    <row r="56" spans="1:15" s="2" customFormat="1" ht="15.75" thickBot="1">
      <c r="A56" s="7" t="s">
        <v>36</v>
      </c>
      <c r="B56" s="96" t="s">
        <v>367</v>
      </c>
      <c r="C56" s="76">
        <v>590</v>
      </c>
      <c r="D56" s="76">
        <v>592</v>
      </c>
      <c r="E56" s="76">
        <v>616</v>
      </c>
      <c r="F56" s="76">
        <v>639</v>
      </c>
      <c r="G56" s="76">
        <v>671</v>
      </c>
      <c r="H56" s="76">
        <v>770</v>
      </c>
      <c r="I56" s="76">
        <v>793</v>
      </c>
      <c r="J56" s="9">
        <v>798</v>
      </c>
      <c r="K56" s="11" t="s">
        <v>15</v>
      </c>
      <c r="L56" s="21" t="s">
        <v>13</v>
      </c>
      <c r="M56" s="38">
        <v>315</v>
      </c>
      <c r="N56" s="39">
        <f>SUM(M56/M58)</f>
        <v>4.9653215636822193E-2</v>
      </c>
    </row>
    <row r="57" spans="1:15" s="2" customFormat="1" ht="15.75" thickBot="1">
      <c r="A57" s="7" t="s">
        <v>101</v>
      </c>
      <c r="B57" s="42" t="s">
        <v>18</v>
      </c>
      <c r="C57" s="76">
        <v>583</v>
      </c>
      <c r="D57" s="76">
        <v>603</v>
      </c>
      <c r="E57" s="76">
        <v>607</v>
      </c>
      <c r="F57" s="76">
        <v>612</v>
      </c>
      <c r="G57" s="76">
        <v>621</v>
      </c>
      <c r="H57" s="76">
        <v>630</v>
      </c>
      <c r="I57" s="76">
        <v>646</v>
      </c>
      <c r="J57" s="9">
        <v>851</v>
      </c>
      <c r="K57" s="11" t="s">
        <v>10</v>
      </c>
      <c r="L57" s="26" t="s">
        <v>17</v>
      </c>
      <c r="M57" s="14">
        <f>(C53+C54+C55+C57+C58+C62+C64+C65)</f>
        <v>4402</v>
      </c>
      <c r="N57" s="15">
        <f>SUM(M57/M58)</f>
        <v>0.6938839848675914</v>
      </c>
      <c r="O57" s="5">
        <v>5</v>
      </c>
    </row>
    <row r="58" spans="1:15" s="2" customFormat="1" ht="15.75" thickBot="1">
      <c r="A58" s="7" t="s">
        <v>476</v>
      </c>
      <c r="B58" s="42" t="s">
        <v>18</v>
      </c>
      <c r="C58" s="76">
        <v>536</v>
      </c>
      <c r="D58" s="76">
        <v>537</v>
      </c>
      <c r="E58" s="76">
        <v>583</v>
      </c>
      <c r="F58" s="76">
        <v>606</v>
      </c>
      <c r="G58" s="76">
        <v>715</v>
      </c>
      <c r="H58" s="76">
        <v>756</v>
      </c>
      <c r="I58" s="76">
        <v>783</v>
      </c>
      <c r="J58" s="9">
        <v>790</v>
      </c>
      <c r="K58" s="11" t="s">
        <v>14</v>
      </c>
      <c r="M58" s="22">
        <v>6344</v>
      </c>
    </row>
    <row r="59" spans="1:15" s="2" customFormat="1" ht="15.75" thickBot="1">
      <c r="A59" s="17" t="s">
        <v>95</v>
      </c>
      <c r="B59" s="23" t="s">
        <v>8</v>
      </c>
      <c r="C59" s="76">
        <v>411</v>
      </c>
      <c r="D59" s="76">
        <v>411</v>
      </c>
      <c r="E59" s="76">
        <v>413</v>
      </c>
      <c r="F59" s="76">
        <v>413</v>
      </c>
      <c r="G59" s="76">
        <v>435</v>
      </c>
      <c r="H59" s="76">
        <v>479</v>
      </c>
      <c r="I59" s="76">
        <v>485</v>
      </c>
      <c r="J59" s="76">
        <v>548</v>
      </c>
      <c r="K59" s="11"/>
    </row>
    <row r="60" spans="1:15" s="2" customFormat="1" ht="15.75" thickBot="1">
      <c r="A60" s="17" t="s">
        <v>500</v>
      </c>
      <c r="B60" s="23" t="s">
        <v>8</v>
      </c>
      <c r="C60" s="76">
        <v>398</v>
      </c>
      <c r="D60" s="76">
        <v>400</v>
      </c>
      <c r="E60" s="76">
        <v>404</v>
      </c>
      <c r="F60" s="76">
        <v>406</v>
      </c>
      <c r="G60" s="76">
        <v>418</v>
      </c>
      <c r="H60" s="76">
        <v>421</v>
      </c>
      <c r="I60" s="76">
        <v>462</v>
      </c>
      <c r="J60" s="76" t="s">
        <v>16</v>
      </c>
    </row>
    <row r="61" spans="1:15" s="2" customFormat="1" ht="15.75" thickBot="1">
      <c r="A61" s="17" t="s">
        <v>502</v>
      </c>
      <c r="B61" s="24" t="s">
        <v>13</v>
      </c>
      <c r="C61" s="80">
        <v>315</v>
      </c>
      <c r="D61" s="76">
        <v>316</v>
      </c>
      <c r="E61" s="76">
        <v>316</v>
      </c>
      <c r="F61" s="76">
        <v>389</v>
      </c>
      <c r="G61" s="76">
        <v>402</v>
      </c>
      <c r="H61" s="76">
        <v>403</v>
      </c>
      <c r="I61" s="76" t="s">
        <v>16</v>
      </c>
      <c r="L61" s="14"/>
      <c r="M61" s="15"/>
      <c r="N61" s="5"/>
    </row>
    <row r="62" spans="1:15" s="2" customFormat="1" ht="15.75" thickBot="1">
      <c r="A62" s="17" t="s">
        <v>503</v>
      </c>
      <c r="B62" s="41" t="s">
        <v>18</v>
      </c>
      <c r="C62" s="76">
        <v>230</v>
      </c>
      <c r="D62" s="76">
        <v>231</v>
      </c>
      <c r="E62" s="76">
        <v>238</v>
      </c>
      <c r="F62" s="76" t="s">
        <v>16</v>
      </c>
      <c r="K62" s="15"/>
      <c r="L62" s="5"/>
    </row>
    <row r="63" spans="1:15" s="2" customFormat="1" ht="15.75" thickBot="1">
      <c r="A63" s="17" t="s">
        <v>472</v>
      </c>
      <c r="B63" s="23" t="s">
        <v>8</v>
      </c>
      <c r="C63" s="80">
        <v>228</v>
      </c>
      <c r="D63" s="76">
        <v>240</v>
      </c>
      <c r="E63" s="76">
        <v>245</v>
      </c>
      <c r="F63" s="76">
        <v>264</v>
      </c>
      <c r="G63" s="76" t="s">
        <v>16</v>
      </c>
    </row>
    <row r="64" spans="1:15" s="2" customFormat="1" ht="15.75" thickBot="1">
      <c r="A64" s="17" t="s">
        <v>499</v>
      </c>
      <c r="B64" s="41" t="s">
        <v>18</v>
      </c>
      <c r="C64" s="76">
        <v>227</v>
      </c>
      <c r="D64" s="76">
        <v>228</v>
      </c>
      <c r="E64" s="76">
        <v>281</v>
      </c>
      <c r="F64" s="76">
        <v>286</v>
      </c>
      <c r="G64" s="76">
        <v>295</v>
      </c>
      <c r="H64" s="76" t="s">
        <v>16</v>
      </c>
      <c r="K64" s="14"/>
      <c r="L64" s="15"/>
      <c r="M64" s="5"/>
    </row>
    <row r="65" spans="1:11" s="2" customFormat="1" ht="15.75" thickBot="1">
      <c r="A65" s="17" t="s">
        <v>501</v>
      </c>
      <c r="B65" s="41" t="s">
        <v>18</v>
      </c>
      <c r="C65" s="76">
        <v>190</v>
      </c>
      <c r="D65" s="76">
        <v>191</v>
      </c>
      <c r="E65" s="76" t="s">
        <v>16</v>
      </c>
      <c r="J65" s="15"/>
      <c r="K65" s="5"/>
    </row>
    <row r="66" spans="1:11" s="2" customFormat="1" ht="15">
      <c r="A66" s="40"/>
      <c r="C66" s="38"/>
      <c r="D66" s="38"/>
      <c r="E66" s="38"/>
    </row>
    <row r="67" spans="1:11">
      <c r="A67" s="27"/>
      <c r="B67" s="27" t="s">
        <v>19</v>
      </c>
      <c r="C67" s="28" t="s">
        <v>8</v>
      </c>
      <c r="D67" s="30" t="s">
        <v>13</v>
      </c>
      <c r="E67" s="73" t="s">
        <v>367</v>
      </c>
      <c r="F67" s="27" t="s">
        <v>17</v>
      </c>
    </row>
    <row r="68" spans="1:11" ht="14.25">
      <c r="A68" s="32" t="s">
        <v>5</v>
      </c>
      <c r="B68" s="33">
        <f>SUM(M58+K43+S23+K7)</f>
        <v>24635</v>
      </c>
      <c r="C68" s="34">
        <f>SUM(M54+K41+S19+K5)</f>
        <v>8306</v>
      </c>
      <c r="D68" s="34">
        <f>(M56+S21)</f>
        <v>878</v>
      </c>
      <c r="E68" s="34">
        <f>(M55+S20)</f>
        <v>2271</v>
      </c>
      <c r="F68" s="34">
        <f>SUM(K42+S22+M57+K6)</f>
        <v>13180</v>
      </c>
    </row>
    <row r="69" spans="1:11" ht="14.25">
      <c r="A69" s="32" t="s">
        <v>6</v>
      </c>
      <c r="B69" s="35">
        <v>1</v>
      </c>
      <c r="C69" s="36">
        <f>SUM(C68/$B$68)</f>
        <v>0.33716257357418306</v>
      </c>
      <c r="D69" s="36">
        <f>SUM(D68/$B$68)</f>
        <v>3.5640349096813476E-2</v>
      </c>
      <c r="E69" s="36">
        <f>SUM(E68/$B$68)</f>
        <v>9.218591434950274E-2</v>
      </c>
      <c r="F69" s="36">
        <f>SUM(F68/$B$68)</f>
        <v>0.53501116297950069</v>
      </c>
    </row>
    <row r="70" spans="1:11" ht="14.25">
      <c r="A70" s="32" t="s">
        <v>7</v>
      </c>
      <c r="B70" s="27">
        <v>25</v>
      </c>
      <c r="C70">
        <v>8</v>
      </c>
      <c r="D70">
        <v>1</v>
      </c>
      <c r="E70">
        <v>3</v>
      </c>
      <c r="F70">
        <v>13</v>
      </c>
    </row>
  </sheetData>
  <sortState ref="A53:C65">
    <sortCondition descending="1" ref="C53:C65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P66"/>
  <sheetViews>
    <sheetView workbookViewId="0">
      <selection activeCell="P1" sqref="P1"/>
    </sheetView>
  </sheetViews>
  <sheetFormatPr defaultRowHeight="12.75"/>
  <cols>
    <col min="1" max="1" width="20.28515625" customWidth="1"/>
    <col min="6" max="6" width="9" customWidth="1"/>
    <col min="13" max="13" width="9.42578125" bestFit="1" customWidth="1"/>
  </cols>
  <sheetData>
    <row r="1" spans="1:14" s="2" customFormat="1" ht="14.25">
      <c r="A1" s="1" t="s">
        <v>411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(6914/9583)</f>
        <v>0.72148596472920801</v>
      </c>
    </row>
    <row r="4" spans="1:14" s="2" customFormat="1" ht="15.75" thickBot="1">
      <c r="A4" s="7" t="s">
        <v>359</v>
      </c>
      <c r="B4" s="8" t="s">
        <v>8</v>
      </c>
      <c r="C4" s="9">
        <v>1180</v>
      </c>
      <c r="D4" s="76"/>
      <c r="E4" s="76"/>
      <c r="F4" s="76"/>
      <c r="G4" s="76"/>
      <c r="H4" s="76"/>
      <c r="I4" s="76"/>
      <c r="J4" s="75" t="s">
        <v>4</v>
      </c>
      <c r="K4" s="5"/>
      <c r="L4" s="6" t="s">
        <v>5</v>
      </c>
      <c r="M4" s="6" t="s">
        <v>6</v>
      </c>
      <c r="N4" s="6" t="s">
        <v>7</v>
      </c>
    </row>
    <row r="5" spans="1:14" s="2" customFormat="1" ht="15.75" thickBot="1">
      <c r="A5" s="7" t="s">
        <v>363</v>
      </c>
      <c r="B5" s="42" t="s">
        <v>18</v>
      </c>
      <c r="C5" s="76">
        <v>823</v>
      </c>
      <c r="D5" s="76"/>
      <c r="E5" s="76"/>
      <c r="F5" s="76">
        <v>891</v>
      </c>
      <c r="G5" s="76">
        <v>901</v>
      </c>
      <c r="H5" s="76">
        <v>996</v>
      </c>
      <c r="I5" s="9">
        <v>1075</v>
      </c>
      <c r="J5" s="75" t="s">
        <v>12</v>
      </c>
      <c r="K5" s="13" t="s">
        <v>8</v>
      </c>
      <c r="L5" s="14">
        <f>(C4+C6+C7+C9+C8)</f>
        <v>3867</v>
      </c>
      <c r="M5" s="15">
        <f>SUM(L5/L8)</f>
        <v>0.57144968228166104</v>
      </c>
      <c r="N5" s="5">
        <v>3</v>
      </c>
    </row>
    <row r="6" spans="1:14" s="2" customFormat="1" ht="15.75" thickBot="1">
      <c r="A6" s="7" t="s">
        <v>291</v>
      </c>
      <c r="B6" s="8" t="s">
        <v>8</v>
      </c>
      <c r="C6" s="76">
        <v>799</v>
      </c>
      <c r="D6" s="76"/>
      <c r="E6" s="76"/>
      <c r="F6" s="76">
        <v>808</v>
      </c>
      <c r="G6" s="76">
        <v>1105</v>
      </c>
      <c r="H6" s="76">
        <v>1115</v>
      </c>
      <c r="I6" s="9">
        <v>1139</v>
      </c>
      <c r="J6" s="75" t="s">
        <v>9</v>
      </c>
      <c r="K6" s="93" t="s">
        <v>367</v>
      </c>
      <c r="L6" s="38">
        <f>(C13+C12+C14)</f>
        <v>976</v>
      </c>
      <c r="M6" s="39">
        <f>SUM(L6/L8)</f>
        <v>0.14422934830796513</v>
      </c>
    </row>
    <row r="7" spans="1:14" s="2" customFormat="1" ht="15.75" thickBot="1">
      <c r="A7" s="17" t="s">
        <v>412</v>
      </c>
      <c r="B7" s="23" t="s">
        <v>8</v>
      </c>
      <c r="C7" s="76">
        <v>636</v>
      </c>
      <c r="D7" s="76"/>
      <c r="E7" s="76"/>
      <c r="F7" s="76">
        <v>700</v>
      </c>
      <c r="G7" s="76">
        <v>706</v>
      </c>
      <c r="H7" s="76">
        <v>816</v>
      </c>
      <c r="I7" s="76">
        <v>894</v>
      </c>
      <c r="J7" s="75"/>
      <c r="K7" s="26" t="s">
        <v>17</v>
      </c>
      <c r="L7" s="38">
        <f>(C5+C10+C11)</f>
        <v>1924</v>
      </c>
      <c r="M7" s="39">
        <f>SUM(L7/L8)</f>
        <v>0.28432096941037388</v>
      </c>
      <c r="N7" s="2">
        <v>2</v>
      </c>
    </row>
    <row r="8" spans="1:14" s="2" customFormat="1" ht="15.75" thickBot="1">
      <c r="A8" s="17" t="s">
        <v>365</v>
      </c>
      <c r="B8" s="23" t="s">
        <v>8</v>
      </c>
      <c r="C8" s="76">
        <v>633</v>
      </c>
      <c r="D8" s="76"/>
      <c r="E8" s="76"/>
      <c r="F8" s="76">
        <v>642</v>
      </c>
      <c r="G8" s="76">
        <v>658</v>
      </c>
      <c r="H8" s="76">
        <v>688</v>
      </c>
      <c r="I8" s="76" t="s">
        <v>16</v>
      </c>
      <c r="L8" s="22">
        <v>6767</v>
      </c>
    </row>
    <row r="9" spans="1:14" s="2" customFormat="1" ht="15.75" thickBot="1">
      <c r="A9" s="7" t="s">
        <v>356</v>
      </c>
      <c r="B9" s="8" t="s">
        <v>8</v>
      </c>
      <c r="C9" s="76">
        <v>619</v>
      </c>
      <c r="D9" s="76"/>
      <c r="E9" s="76"/>
      <c r="F9" s="76">
        <v>635</v>
      </c>
      <c r="G9" s="76">
        <v>776</v>
      </c>
      <c r="H9" s="76">
        <v>821</v>
      </c>
      <c r="I9" s="9">
        <v>1019</v>
      </c>
      <c r="J9" s="75" t="s">
        <v>10</v>
      </c>
    </row>
    <row r="10" spans="1:14" s="2" customFormat="1" ht="15.75" thickBot="1">
      <c r="A10" s="7" t="s">
        <v>267</v>
      </c>
      <c r="B10" s="42" t="s">
        <v>18</v>
      </c>
      <c r="C10" s="76">
        <v>551</v>
      </c>
      <c r="D10" s="76"/>
      <c r="E10" s="76"/>
      <c r="F10" s="76">
        <v>589</v>
      </c>
      <c r="G10" s="76">
        <v>647</v>
      </c>
      <c r="H10" s="76">
        <v>739</v>
      </c>
      <c r="I10" s="9">
        <v>932</v>
      </c>
      <c r="J10" s="75" t="s">
        <v>15</v>
      </c>
    </row>
    <row r="11" spans="1:14" s="2" customFormat="1" ht="15.75" thickBot="1">
      <c r="A11" s="17" t="s">
        <v>413</v>
      </c>
      <c r="B11" s="41" t="s">
        <v>18</v>
      </c>
      <c r="C11" s="76">
        <v>550</v>
      </c>
      <c r="D11" s="76"/>
      <c r="E11" s="76"/>
      <c r="F11" s="76">
        <v>564</v>
      </c>
      <c r="G11" s="76" t="s">
        <v>16</v>
      </c>
    </row>
    <row r="12" spans="1:14" s="2" customFormat="1" ht="15.75" thickBot="1">
      <c r="A12" s="17" t="s">
        <v>414</v>
      </c>
      <c r="B12" s="95" t="s">
        <v>367</v>
      </c>
      <c r="C12" s="76">
        <v>464</v>
      </c>
      <c r="D12" s="76"/>
      <c r="E12" s="76"/>
      <c r="F12" s="76">
        <v>614</v>
      </c>
      <c r="G12" s="76">
        <v>616</v>
      </c>
      <c r="H12" s="76" t="s">
        <v>16</v>
      </c>
    </row>
    <row r="13" spans="1:14" s="2" customFormat="1" ht="15.75" thickBot="1">
      <c r="A13" s="17" t="s">
        <v>415</v>
      </c>
      <c r="B13" s="95" t="s">
        <v>367</v>
      </c>
      <c r="C13" s="76">
        <v>363</v>
      </c>
      <c r="D13" s="76"/>
      <c r="E13" s="76">
        <v>428</v>
      </c>
      <c r="F13" s="76" t="s">
        <v>16</v>
      </c>
      <c r="I13" s="38"/>
    </row>
    <row r="14" spans="1:14" s="2" customFormat="1" ht="15.75" thickBot="1">
      <c r="A14" s="17" t="s">
        <v>416</v>
      </c>
      <c r="B14" s="95" t="s">
        <v>367</v>
      </c>
      <c r="C14" s="76">
        <v>149</v>
      </c>
      <c r="D14" s="76">
        <v>153</v>
      </c>
      <c r="E14" s="76" t="s">
        <v>16</v>
      </c>
      <c r="G14" s="38"/>
      <c r="H14" s="38"/>
      <c r="I14" s="38"/>
    </row>
    <row r="15" spans="1:14" s="2" customFormat="1" ht="14.25">
      <c r="C15" s="38"/>
      <c r="D15" s="38"/>
      <c r="E15" s="38"/>
      <c r="F15" s="38"/>
      <c r="G15" s="38"/>
      <c r="H15" s="38"/>
      <c r="I15" s="38"/>
    </row>
    <row r="16" spans="1:14" s="2" customFormat="1" ht="14.25">
      <c r="A16" s="1" t="s">
        <v>417</v>
      </c>
    </row>
    <row r="17" spans="1:15" s="2" customFormat="1" ht="9.75" customHeight="1" thickBot="1">
      <c r="A17" s="1"/>
    </row>
    <row r="18" spans="1:15" s="2" customFormat="1" ht="15.75" thickBot="1">
      <c r="A18" s="3" t="s">
        <v>0</v>
      </c>
      <c r="B18" s="4" t="s">
        <v>1</v>
      </c>
      <c r="C18" s="4" t="s">
        <v>2</v>
      </c>
      <c r="D18" s="4">
        <v>2</v>
      </c>
      <c r="E18" s="4">
        <v>3</v>
      </c>
      <c r="F18" s="4">
        <v>4</v>
      </c>
      <c r="G18" s="4">
        <v>5</v>
      </c>
      <c r="H18" s="4">
        <v>6</v>
      </c>
      <c r="I18" s="4">
        <v>7</v>
      </c>
      <c r="J18" s="4">
        <v>8</v>
      </c>
      <c r="K18" s="4"/>
      <c r="L18" s="6" t="s">
        <v>289</v>
      </c>
      <c r="M18" s="39">
        <f>(8169/12339)</f>
        <v>0.66204716751762704</v>
      </c>
    </row>
    <row r="19" spans="1:15" s="2" customFormat="1" ht="15.75" thickBot="1">
      <c r="A19" s="7" t="s">
        <v>301</v>
      </c>
      <c r="B19" s="42" t="s">
        <v>18</v>
      </c>
      <c r="C19" s="9">
        <v>1590</v>
      </c>
      <c r="D19" s="76"/>
      <c r="E19" s="76"/>
      <c r="F19" s="76"/>
      <c r="G19" s="76"/>
      <c r="H19" s="76"/>
      <c r="I19" s="76"/>
      <c r="J19" s="76"/>
      <c r="K19" s="75" t="s">
        <v>4</v>
      </c>
      <c r="L19" s="5"/>
      <c r="M19" s="6" t="s">
        <v>5</v>
      </c>
      <c r="N19" s="6" t="s">
        <v>6</v>
      </c>
      <c r="O19" s="6" t="s">
        <v>7</v>
      </c>
    </row>
    <row r="20" spans="1:15" s="2" customFormat="1" ht="15.75" thickBot="1">
      <c r="A20" s="7" t="s">
        <v>418</v>
      </c>
      <c r="B20" s="42" t="s">
        <v>392</v>
      </c>
      <c r="C20" s="76">
        <v>995</v>
      </c>
      <c r="D20" s="9">
        <v>1036</v>
      </c>
      <c r="E20" s="76"/>
      <c r="F20" s="76"/>
      <c r="G20" s="76"/>
      <c r="H20" s="76"/>
      <c r="I20" s="76"/>
      <c r="J20" s="76"/>
      <c r="K20" s="75" t="s">
        <v>9</v>
      </c>
      <c r="L20" s="13" t="s">
        <v>8</v>
      </c>
      <c r="M20" s="14">
        <f>(C22+C25+C26+C29)</f>
        <v>2263</v>
      </c>
      <c r="N20" s="15">
        <f>SUM(M20/M23)</f>
        <v>0.28347738945258677</v>
      </c>
      <c r="O20" s="5">
        <v>2</v>
      </c>
    </row>
    <row r="21" spans="1:15" s="2" customFormat="1" ht="15.75" thickBot="1">
      <c r="A21" s="7" t="s">
        <v>302</v>
      </c>
      <c r="B21" s="42" t="s">
        <v>18</v>
      </c>
      <c r="C21" s="76">
        <v>634</v>
      </c>
      <c r="D21" s="76">
        <v>667</v>
      </c>
      <c r="E21" s="76">
        <v>671</v>
      </c>
      <c r="F21" s="76">
        <v>673</v>
      </c>
      <c r="G21" s="76">
        <v>707</v>
      </c>
      <c r="H21" s="76">
        <v>711</v>
      </c>
      <c r="I21" s="76">
        <v>774</v>
      </c>
      <c r="J21" s="9">
        <v>815</v>
      </c>
      <c r="K21" s="75" t="s">
        <v>57</v>
      </c>
      <c r="L21" s="93" t="s">
        <v>367</v>
      </c>
      <c r="M21" s="14">
        <v>625</v>
      </c>
      <c r="N21" s="15">
        <f>SUM(M21/M23)</f>
        <v>7.8291369159463858E-2</v>
      </c>
      <c r="O21" s="5">
        <v>1</v>
      </c>
    </row>
    <row r="22" spans="1:15" s="2" customFormat="1" ht="15.75" thickBot="1">
      <c r="A22" s="7" t="s">
        <v>420</v>
      </c>
      <c r="B22" s="8" t="s">
        <v>8</v>
      </c>
      <c r="C22" s="76">
        <v>632</v>
      </c>
      <c r="D22" s="76">
        <v>674</v>
      </c>
      <c r="E22" s="76">
        <v>674</v>
      </c>
      <c r="F22" s="76">
        <v>740</v>
      </c>
      <c r="G22" s="76">
        <v>874</v>
      </c>
      <c r="H22" s="76">
        <v>910</v>
      </c>
      <c r="I22" s="9">
        <v>1006</v>
      </c>
      <c r="J22" s="76"/>
      <c r="K22" s="75" t="s">
        <v>10</v>
      </c>
      <c r="L22" s="26" t="s">
        <v>17</v>
      </c>
      <c r="M22" s="14">
        <f>(C19+C20+C21+C24+C27+C28+C30)</f>
        <v>5095</v>
      </c>
      <c r="N22" s="15">
        <f>SUM(M22/M23)</f>
        <v>0.6382312413879494</v>
      </c>
      <c r="O22" s="5">
        <v>4</v>
      </c>
    </row>
    <row r="23" spans="1:15" s="2" customFormat="1" ht="15.75" thickBot="1">
      <c r="A23" s="7" t="s">
        <v>380</v>
      </c>
      <c r="B23" s="96" t="s">
        <v>367</v>
      </c>
      <c r="C23" s="76">
        <v>625</v>
      </c>
      <c r="D23" s="76">
        <v>639</v>
      </c>
      <c r="E23" s="76">
        <v>641</v>
      </c>
      <c r="F23" s="76">
        <v>648</v>
      </c>
      <c r="G23" s="76">
        <v>657</v>
      </c>
      <c r="H23" s="76">
        <v>671</v>
      </c>
      <c r="I23" s="76">
        <v>825</v>
      </c>
      <c r="J23" s="9">
        <v>844</v>
      </c>
      <c r="K23" s="75" t="s">
        <v>15</v>
      </c>
      <c r="M23" s="22">
        <v>7983</v>
      </c>
    </row>
    <row r="24" spans="1:15" s="2" customFormat="1" ht="15.75" thickBot="1">
      <c r="A24" s="7" t="s">
        <v>419</v>
      </c>
      <c r="B24" s="42" t="s">
        <v>18</v>
      </c>
      <c r="C24" s="76">
        <v>608</v>
      </c>
      <c r="D24" s="76">
        <v>666</v>
      </c>
      <c r="E24" s="76">
        <v>674</v>
      </c>
      <c r="F24" s="76">
        <v>692</v>
      </c>
      <c r="G24" s="76">
        <v>739</v>
      </c>
      <c r="H24" s="76">
        <v>809</v>
      </c>
      <c r="I24" s="76">
        <v>823</v>
      </c>
      <c r="J24" s="9">
        <v>830</v>
      </c>
      <c r="K24" s="75" t="s">
        <v>14</v>
      </c>
    </row>
    <row r="25" spans="1:15" s="2" customFormat="1" ht="15.75" thickBot="1">
      <c r="A25" s="17" t="s">
        <v>422</v>
      </c>
      <c r="B25" s="23" t="s">
        <v>8</v>
      </c>
      <c r="C25" s="76">
        <v>594</v>
      </c>
      <c r="D25" s="76">
        <v>615</v>
      </c>
      <c r="E25" s="76">
        <v>615</v>
      </c>
      <c r="F25" s="76">
        <v>617</v>
      </c>
      <c r="G25" s="76">
        <v>648</v>
      </c>
      <c r="H25" s="76">
        <v>654</v>
      </c>
      <c r="I25" s="76" t="s">
        <v>16</v>
      </c>
    </row>
    <row r="26" spans="1:15" s="2" customFormat="1" ht="15.75" thickBot="1">
      <c r="A26" s="7" t="s">
        <v>374</v>
      </c>
      <c r="B26" s="8" t="s">
        <v>8</v>
      </c>
      <c r="C26" s="76">
        <v>589</v>
      </c>
      <c r="D26" s="76">
        <v>756</v>
      </c>
      <c r="E26" s="76">
        <v>759</v>
      </c>
      <c r="F26" s="76">
        <v>782</v>
      </c>
      <c r="G26" s="76">
        <v>979</v>
      </c>
      <c r="H26" s="76">
        <v>994</v>
      </c>
      <c r="I26" s="9">
        <v>1182</v>
      </c>
      <c r="J26" s="76">
        <v>998</v>
      </c>
      <c r="K26" s="75" t="s">
        <v>12</v>
      </c>
    </row>
    <row r="27" spans="1:15" s="2" customFormat="1" ht="15.75" thickBot="1">
      <c r="A27" s="17" t="s">
        <v>421</v>
      </c>
      <c r="B27" s="41" t="s">
        <v>18</v>
      </c>
      <c r="C27" s="76">
        <v>560</v>
      </c>
      <c r="D27" s="76">
        <v>566</v>
      </c>
      <c r="E27" s="76">
        <v>566</v>
      </c>
      <c r="F27" s="76">
        <v>572</v>
      </c>
      <c r="G27" s="76">
        <v>577</v>
      </c>
      <c r="H27" s="76" t="s">
        <v>16</v>
      </c>
    </row>
    <row r="28" spans="1:15" s="2" customFormat="1" ht="15.75" thickBot="1">
      <c r="A28" s="17" t="s">
        <v>424</v>
      </c>
      <c r="B28" s="41" t="s">
        <v>18</v>
      </c>
      <c r="C28" s="76">
        <v>535</v>
      </c>
      <c r="D28" s="76">
        <v>622</v>
      </c>
      <c r="E28" s="76">
        <v>624</v>
      </c>
      <c r="F28" s="76">
        <v>653</v>
      </c>
      <c r="G28" s="76">
        <v>675</v>
      </c>
      <c r="H28" s="76">
        <v>748</v>
      </c>
      <c r="I28" s="76">
        <v>766</v>
      </c>
      <c r="J28" s="76">
        <v>773</v>
      </c>
      <c r="K28" s="9"/>
    </row>
    <row r="29" spans="1:15" s="2" customFormat="1" ht="15.75" thickBot="1">
      <c r="A29" s="17" t="s">
        <v>400</v>
      </c>
      <c r="B29" s="23" t="s">
        <v>8</v>
      </c>
      <c r="C29" s="76">
        <v>448</v>
      </c>
      <c r="D29" s="76">
        <v>554</v>
      </c>
      <c r="E29" s="76">
        <v>558</v>
      </c>
      <c r="F29" s="76">
        <v>567</v>
      </c>
      <c r="G29" s="76" t="s">
        <v>16</v>
      </c>
    </row>
    <row r="30" spans="1:15" s="2" customFormat="1" ht="15.75" thickBot="1">
      <c r="A30" s="17" t="s">
        <v>423</v>
      </c>
      <c r="B30" s="41" t="s">
        <v>18</v>
      </c>
      <c r="C30" s="76">
        <v>173</v>
      </c>
      <c r="D30" s="76">
        <v>190</v>
      </c>
      <c r="E30" s="76">
        <v>192</v>
      </c>
      <c r="F30" s="76" t="s">
        <v>16</v>
      </c>
      <c r="H30" s="38"/>
      <c r="I30" s="38"/>
      <c r="J30" s="38"/>
    </row>
    <row r="31" spans="1:15" s="2" customFormat="1" ht="14.25">
      <c r="C31" s="38"/>
      <c r="D31" s="38"/>
      <c r="E31" s="38"/>
      <c r="F31" s="38"/>
      <c r="G31" s="38"/>
      <c r="H31" s="38"/>
      <c r="I31" s="38"/>
      <c r="J31" s="38"/>
    </row>
    <row r="32" spans="1:15" s="2" customFormat="1" ht="14.25">
      <c r="A32" s="1" t="s">
        <v>401</v>
      </c>
    </row>
    <row r="33" spans="1:16" s="2" customFormat="1" ht="9" customHeight="1" thickBot="1">
      <c r="A33" s="1"/>
    </row>
    <row r="34" spans="1:16" s="2" customFormat="1" ht="15.75" thickBot="1">
      <c r="A34" s="3" t="s">
        <v>0</v>
      </c>
      <c r="B34" s="4" t="s">
        <v>1</v>
      </c>
      <c r="C34" s="4" t="s">
        <v>2</v>
      </c>
      <c r="D34" s="4">
        <v>2</v>
      </c>
      <c r="E34" s="4">
        <v>3</v>
      </c>
      <c r="F34" s="4">
        <v>4</v>
      </c>
      <c r="G34" s="4">
        <v>5</v>
      </c>
      <c r="H34" s="4">
        <v>6</v>
      </c>
      <c r="I34" s="4">
        <v>7</v>
      </c>
      <c r="J34" s="4">
        <v>8</v>
      </c>
      <c r="K34" s="4">
        <v>9</v>
      </c>
      <c r="L34" s="4"/>
      <c r="M34" s="6" t="s">
        <v>289</v>
      </c>
      <c r="N34" s="39">
        <f>(8531/12121)</f>
        <v>0.70381981684679484</v>
      </c>
    </row>
    <row r="35" spans="1:16" s="2" customFormat="1" ht="15.75" thickBot="1">
      <c r="A35" s="7" t="s">
        <v>62</v>
      </c>
      <c r="B35" s="8" t="s">
        <v>8</v>
      </c>
      <c r="C35" s="9">
        <v>1201</v>
      </c>
      <c r="D35" s="76"/>
      <c r="E35" s="76"/>
      <c r="F35" s="76"/>
      <c r="G35" s="76"/>
      <c r="H35" s="76"/>
      <c r="I35" s="76"/>
      <c r="J35" s="76"/>
      <c r="K35" s="76"/>
      <c r="L35" s="75" t="s">
        <v>4</v>
      </c>
      <c r="M35" s="5"/>
      <c r="N35" s="6" t="s">
        <v>5</v>
      </c>
      <c r="O35" s="6" t="s">
        <v>6</v>
      </c>
      <c r="P35" s="6" t="s">
        <v>7</v>
      </c>
    </row>
    <row r="36" spans="1:16" s="2" customFormat="1" ht="15.75" thickBot="1">
      <c r="A36" s="7" t="s">
        <v>308</v>
      </c>
      <c r="B36" s="42" t="s">
        <v>18</v>
      </c>
      <c r="C36" s="9">
        <v>1124</v>
      </c>
      <c r="D36" s="76"/>
      <c r="E36" s="76"/>
      <c r="F36" s="76"/>
      <c r="G36" s="76"/>
      <c r="H36" s="76"/>
      <c r="I36" s="76"/>
      <c r="J36" s="76"/>
      <c r="K36" s="76"/>
      <c r="L36" s="75" t="s">
        <v>9</v>
      </c>
      <c r="M36" s="13" t="s">
        <v>8</v>
      </c>
      <c r="N36" s="14">
        <f>(C35+C37+C40+C41+C45)</f>
        <v>3953</v>
      </c>
      <c r="O36" s="15">
        <f>SUM(N36/N40)</f>
        <v>0.47580645161290325</v>
      </c>
      <c r="P36" s="5">
        <v>4</v>
      </c>
    </row>
    <row r="37" spans="1:16" s="2" customFormat="1" ht="15.75" thickBot="1">
      <c r="A37" s="7" t="s">
        <v>66</v>
      </c>
      <c r="B37" s="8" t="s">
        <v>8</v>
      </c>
      <c r="C37" s="9">
        <v>1106</v>
      </c>
      <c r="D37" s="76"/>
      <c r="E37" s="76"/>
      <c r="F37" s="76"/>
      <c r="G37" s="76"/>
      <c r="H37" s="76"/>
      <c r="I37" s="76"/>
      <c r="J37" s="76"/>
      <c r="K37" s="76"/>
      <c r="L37" s="75" t="s">
        <v>12</v>
      </c>
      <c r="M37" s="16" t="s">
        <v>3</v>
      </c>
      <c r="N37" s="14">
        <v>351</v>
      </c>
      <c r="O37" s="15">
        <f>SUM(N37/N40)</f>
        <v>4.2248435243139142E-2</v>
      </c>
      <c r="P37" s="5"/>
    </row>
    <row r="38" spans="1:16" s="2" customFormat="1" ht="15.75" thickBot="1">
      <c r="A38" s="7" t="s">
        <v>402</v>
      </c>
      <c r="B38" s="42" t="s">
        <v>18</v>
      </c>
      <c r="C38" s="76">
        <v>754</v>
      </c>
      <c r="D38" s="76"/>
      <c r="E38" s="76"/>
      <c r="F38" s="76">
        <v>777</v>
      </c>
      <c r="G38" s="76">
        <v>782</v>
      </c>
      <c r="H38" s="76">
        <v>783</v>
      </c>
      <c r="I38" s="76">
        <v>804</v>
      </c>
      <c r="J38" s="76">
        <v>804</v>
      </c>
      <c r="K38" s="9">
        <v>812</v>
      </c>
      <c r="L38" s="75" t="s">
        <v>14</v>
      </c>
      <c r="M38" s="93" t="s">
        <v>367</v>
      </c>
      <c r="N38" s="38">
        <f>(C42+C47)</f>
        <v>716</v>
      </c>
      <c r="O38" s="39">
        <f>SUM(N38/N40)</f>
        <v>8.6181993259508913E-2</v>
      </c>
    </row>
    <row r="39" spans="1:16" s="2" customFormat="1" ht="15.75" thickBot="1">
      <c r="A39" s="7" t="s">
        <v>386</v>
      </c>
      <c r="B39" s="42" t="s">
        <v>18</v>
      </c>
      <c r="C39" s="76">
        <v>747</v>
      </c>
      <c r="D39" s="76"/>
      <c r="E39" s="76"/>
      <c r="F39" s="76">
        <v>757</v>
      </c>
      <c r="G39" s="76">
        <v>768</v>
      </c>
      <c r="H39" s="76">
        <v>774</v>
      </c>
      <c r="I39" s="76">
        <v>780</v>
      </c>
      <c r="J39" s="76">
        <v>785</v>
      </c>
      <c r="K39" s="9">
        <v>811</v>
      </c>
      <c r="L39" s="11" t="s">
        <v>57</v>
      </c>
      <c r="M39" s="6" t="s">
        <v>17</v>
      </c>
      <c r="N39" s="38">
        <f>(C36+C38+C39+C44+C46)</f>
        <v>3288</v>
      </c>
      <c r="O39" s="39">
        <f>SUM(N39/N40)</f>
        <v>0.39576311988444873</v>
      </c>
      <c r="P39" s="2">
        <v>3</v>
      </c>
    </row>
    <row r="40" spans="1:16" s="2" customFormat="1" ht="15.75" thickBot="1">
      <c r="A40" s="7" t="s">
        <v>313</v>
      </c>
      <c r="B40" s="8" t="s">
        <v>8</v>
      </c>
      <c r="C40" s="76">
        <v>670</v>
      </c>
      <c r="D40" s="76"/>
      <c r="E40" s="76"/>
      <c r="F40" s="76">
        <v>705</v>
      </c>
      <c r="G40" s="76">
        <v>763</v>
      </c>
      <c r="H40" s="76">
        <v>839</v>
      </c>
      <c r="I40" s="76">
        <v>854</v>
      </c>
      <c r="J40" s="76">
        <v>944</v>
      </c>
      <c r="K40" s="9">
        <v>984</v>
      </c>
      <c r="L40" s="75" t="s">
        <v>10</v>
      </c>
      <c r="N40" s="22">
        <v>8308</v>
      </c>
    </row>
    <row r="41" spans="1:16" s="2" customFormat="1" ht="15.75" thickBot="1">
      <c r="A41" s="7" t="s">
        <v>332</v>
      </c>
      <c r="B41" s="8" t="s">
        <v>8</v>
      </c>
      <c r="C41" s="76">
        <v>638</v>
      </c>
      <c r="D41" s="76"/>
      <c r="E41" s="76"/>
      <c r="F41" s="76">
        <v>715</v>
      </c>
      <c r="G41" s="76">
        <v>727</v>
      </c>
      <c r="H41" s="76">
        <v>755</v>
      </c>
      <c r="I41" s="76">
        <v>782</v>
      </c>
      <c r="J41" s="76">
        <v>812</v>
      </c>
      <c r="K41" s="9">
        <v>829</v>
      </c>
      <c r="L41" s="75" t="s">
        <v>15</v>
      </c>
    </row>
    <row r="42" spans="1:16" s="2" customFormat="1" ht="15.75" thickBot="1">
      <c r="A42" s="17" t="s">
        <v>385</v>
      </c>
      <c r="B42" s="95" t="s">
        <v>367</v>
      </c>
      <c r="C42" s="76">
        <v>406</v>
      </c>
      <c r="D42" s="76"/>
      <c r="E42" s="76"/>
      <c r="F42" s="76">
        <v>435</v>
      </c>
      <c r="G42" s="76">
        <v>519</v>
      </c>
      <c r="H42" s="76">
        <v>529</v>
      </c>
      <c r="I42" s="76">
        <v>632</v>
      </c>
      <c r="J42" s="76">
        <v>701</v>
      </c>
      <c r="K42" s="76">
        <v>766</v>
      </c>
      <c r="L42" s="75"/>
    </row>
    <row r="43" spans="1:16" s="2" customFormat="1" ht="15.75" thickBot="1">
      <c r="A43" s="17" t="s">
        <v>309</v>
      </c>
      <c r="B43" s="25" t="s">
        <v>3</v>
      </c>
      <c r="C43" s="76">
        <v>351</v>
      </c>
      <c r="D43" s="76"/>
      <c r="E43" s="76"/>
      <c r="F43" s="76">
        <v>381</v>
      </c>
      <c r="G43" s="76">
        <v>420</v>
      </c>
      <c r="H43" s="76">
        <v>501</v>
      </c>
      <c r="I43" s="76">
        <v>555</v>
      </c>
      <c r="J43" s="76">
        <v>599</v>
      </c>
      <c r="K43" s="76" t="s">
        <v>16</v>
      </c>
    </row>
    <row r="44" spans="1:16" s="2" customFormat="1" ht="15.75" thickBot="1">
      <c r="A44" s="17" t="s">
        <v>68</v>
      </c>
      <c r="B44" s="41" t="s">
        <v>404</v>
      </c>
      <c r="C44" s="80">
        <v>338</v>
      </c>
      <c r="D44" s="76"/>
      <c r="E44" s="76"/>
      <c r="F44" s="76">
        <v>374</v>
      </c>
      <c r="G44" s="76">
        <v>399</v>
      </c>
      <c r="H44" s="76">
        <v>419</v>
      </c>
      <c r="I44" s="76">
        <v>430</v>
      </c>
      <c r="J44" s="76" t="s">
        <v>16</v>
      </c>
    </row>
    <row r="45" spans="1:16" s="2" customFormat="1" ht="15.75" thickBot="1">
      <c r="A45" s="17" t="s">
        <v>405</v>
      </c>
      <c r="B45" s="23" t="s">
        <v>8</v>
      </c>
      <c r="C45" s="80">
        <v>338</v>
      </c>
      <c r="D45" s="76"/>
      <c r="E45" s="76"/>
      <c r="F45" s="76">
        <v>358</v>
      </c>
      <c r="G45" s="76">
        <v>372</v>
      </c>
      <c r="H45" s="76" t="s">
        <v>16</v>
      </c>
    </row>
    <row r="46" spans="1:16" s="2" customFormat="1" ht="15.75" thickBot="1">
      <c r="A46" s="17" t="s">
        <v>406</v>
      </c>
      <c r="B46" s="41" t="s">
        <v>18</v>
      </c>
      <c r="C46" s="76">
        <v>325</v>
      </c>
      <c r="D46" s="76"/>
      <c r="E46" s="76"/>
      <c r="F46" s="76">
        <v>368</v>
      </c>
      <c r="G46" s="76">
        <v>373</v>
      </c>
      <c r="H46" s="76">
        <v>384</v>
      </c>
      <c r="I46" s="76" t="s">
        <v>16</v>
      </c>
    </row>
    <row r="47" spans="1:16" s="2" customFormat="1" ht="15.75" thickBot="1">
      <c r="A47" s="17" t="s">
        <v>403</v>
      </c>
      <c r="B47" s="95" t="s">
        <v>367</v>
      </c>
      <c r="C47" s="76">
        <v>310</v>
      </c>
      <c r="D47" s="76"/>
      <c r="E47" s="76"/>
      <c r="F47" s="76">
        <v>321</v>
      </c>
      <c r="G47" s="76" t="s">
        <v>16</v>
      </c>
    </row>
    <row r="48" spans="1:16" s="2" customFormat="1" ht="14.25">
      <c r="C48" s="38"/>
      <c r="F48" s="38"/>
    </row>
    <row r="49" spans="1:14" s="2" customFormat="1" ht="14.25">
      <c r="A49" s="1" t="s">
        <v>407</v>
      </c>
    </row>
    <row r="50" spans="1:14" s="2" customFormat="1" ht="9.75" customHeight="1" thickBot="1">
      <c r="A50" s="1"/>
    </row>
    <row r="51" spans="1:14" s="2" customFormat="1" ht="15.75" thickBot="1">
      <c r="A51" s="3" t="s">
        <v>0</v>
      </c>
      <c r="B51" s="4" t="s">
        <v>1</v>
      </c>
      <c r="C51" s="4" t="s">
        <v>2</v>
      </c>
      <c r="D51" s="4">
        <v>2</v>
      </c>
      <c r="E51" s="4">
        <v>3</v>
      </c>
      <c r="F51" s="4">
        <v>4</v>
      </c>
      <c r="G51" s="4">
        <v>5</v>
      </c>
      <c r="H51" s="4">
        <v>6</v>
      </c>
      <c r="I51" s="4">
        <v>7</v>
      </c>
      <c r="J51" s="4"/>
      <c r="K51" s="6" t="s">
        <v>289</v>
      </c>
      <c r="L51" s="39">
        <f>(7468/11043)</f>
        <v>0.67626550756135106</v>
      </c>
    </row>
    <row r="52" spans="1:14" s="2" customFormat="1" ht="15.75" thickBot="1">
      <c r="A52" s="7" t="s">
        <v>78</v>
      </c>
      <c r="B52" s="8" t="s">
        <v>8</v>
      </c>
      <c r="C52" s="9">
        <v>1085</v>
      </c>
      <c r="D52" s="76"/>
      <c r="E52" s="76"/>
      <c r="F52" s="76"/>
      <c r="G52" s="76"/>
      <c r="H52" s="76"/>
      <c r="I52" s="76"/>
      <c r="J52" s="11" t="s">
        <v>4</v>
      </c>
      <c r="K52" s="5"/>
      <c r="L52" s="6" t="s">
        <v>5</v>
      </c>
      <c r="M52" s="6" t="s">
        <v>6</v>
      </c>
      <c r="N52" s="6" t="s">
        <v>7</v>
      </c>
    </row>
    <row r="53" spans="1:14" s="2" customFormat="1" ht="15.75" thickBot="1">
      <c r="A53" s="7" t="s">
        <v>397</v>
      </c>
      <c r="B53" s="42" t="s">
        <v>18</v>
      </c>
      <c r="C53" s="76">
        <v>914</v>
      </c>
      <c r="D53" s="76">
        <v>916</v>
      </c>
      <c r="E53" s="76">
        <v>1038</v>
      </c>
      <c r="F53" s="9">
        <v>1101</v>
      </c>
      <c r="G53" s="76"/>
      <c r="H53" s="76"/>
      <c r="I53" s="76"/>
      <c r="J53" s="11" t="s">
        <v>9</v>
      </c>
      <c r="K53" s="13" t="s">
        <v>8</v>
      </c>
      <c r="L53" s="14">
        <f>(C52+C54+C58+C59+C61)</f>
        <v>3528</v>
      </c>
      <c r="M53" s="15">
        <f>SUM(L53/L56)</f>
        <v>0.48534874122988031</v>
      </c>
      <c r="N53" s="5">
        <v>2</v>
      </c>
    </row>
    <row r="54" spans="1:14" s="2" customFormat="1" ht="15.75" thickBot="1">
      <c r="A54" s="7" t="s">
        <v>325</v>
      </c>
      <c r="B54" s="8" t="s">
        <v>8</v>
      </c>
      <c r="C54" s="76">
        <v>802</v>
      </c>
      <c r="D54" s="76">
        <v>804</v>
      </c>
      <c r="E54" s="76">
        <v>834</v>
      </c>
      <c r="F54" s="76">
        <v>873</v>
      </c>
      <c r="G54" s="76">
        <v>879</v>
      </c>
      <c r="H54" s="9">
        <v>1160</v>
      </c>
      <c r="I54" s="76"/>
      <c r="J54" s="11" t="s">
        <v>12</v>
      </c>
      <c r="K54" s="93" t="s">
        <v>367</v>
      </c>
      <c r="L54" s="38">
        <f>(C55+C57+C60)</f>
        <v>2044</v>
      </c>
      <c r="M54" s="39">
        <f>SUM(L54/L56)</f>
        <v>0.28119411198239097</v>
      </c>
      <c r="N54" s="2">
        <v>2</v>
      </c>
    </row>
    <row r="55" spans="1:14" s="2" customFormat="1" ht="15.75" thickBot="1">
      <c r="A55" s="7" t="s">
        <v>408</v>
      </c>
      <c r="B55" s="96" t="s">
        <v>367</v>
      </c>
      <c r="C55" s="76">
        <v>783</v>
      </c>
      <c r="D55" s="76">
        <v>792</v>
      </c>
      <c r="E55" s="76">
        <v>819</v>
      </c>
      <c r="F55" s="76">
        <v>901</v>
      </c>
      <c r="G55" s="76">
        <v>912</v>
      </c>
      <c r="H55" s="76">
        <v>933</v>
      </c>
      <c r="I55" s="9">
        <v>948</v>
      </c>
      <c r="J55" s="11" t="s">
        <v>15</v>
      </c>
      <c r="K55" s="26" t="s">
        <v>17</v>
      </c>
      <c r="L55" s="14">
        <f>(C53+C56)</f>
        <v>1697</v>
      </c>
      <c r="M55" s="15">
        <f>SUM(L55/L56)</f>
        <v>0.23345714678772872</v>
      </c>
      <c r="N55" s="5">
        <v>2</v>
      </c>
    </row>
    <row r="56" spans="1:14" s="2" customFormat="1" ht="15.75" thickBot="1">
      <c r="A56" s="7" t="s">
        <v>101</v>
      </c>
      <c r="B56" s="42" t="s">
        <v>18</v>
      </c>
      <c r="C56" s="76">
        <v>783</v>
      </c>
      <c r="D56" s="76">
        <v>784</v>
      </c>
      <c r="E56" s="76">
        <v>833</v>
      </c>
      <c r="F56" s="76">
        <v>859</v>
      </c>
      <c r="G56" s="76">
        <v>862</v>
      </c>
      <c r="H56" s="76">
        <v>884</v>
      </c>
      <c r="I56" s="9">
        <v>892</v>
      </c>
      <c r="J56" s="11" t="s">
        <v>14</v>
      </c>
      <c r="L56" s="22">
        <v>7269</v>
      </c>
    </row>
    <row r="57" spans="1:14" s="2" customFormat="1" ht="15.75" thickBot="1">
      <c r="A57" s="7" t="s">
        <v>243</v>
      </c>
      <c r="B57" s="96" t="s">
        <v>367</v>
      </c>
      <c r="C57" s="76">
        <v>721</v>
      </c>
      <c r="D57" s="76">
        <v>724</v>
      </c>
      <c r="E57" s="76">
        <v>794</v>
      </c>
      <c r="F57" s="76">
        <v>830</v>
      </c>
      <c r="G57" s="76">
        <v>836</v>
      </c>
      <c r="H57" s="9">
        <v>1062</v>
      </c>
      <c r="I57" s="76"/>
      <c r="J57" s="11" t="s">
        <v>10</v>
      </c>
    </row>
    <row r="58" spans="1:14" s="2" customFormat="1" ht="15.75" thickBot="1">
      <c r="A58" s="17" t="s">
        <v>342</v>
      </c>
      <c r="B58" s="23" t="s">
        <v>8</v>
      </c>
      <c r="C58" s="76">
        <v>593</v>
      </c>
      <c r="D58" s="76">
        <v>603</v>
      </c>
      <c r="E58" s="76">
        <v>660</v>
      </c>
      <c r="F58" s="76">
        <v>741</v>
      </c>
      <c r="G58" s="76">
        <v>742</v>
      </c>
      <c r="H58" s="76" t="s">
        <v>16</v>
      </c>
    </row>
    <row r="59" spans="1:14" s="2" customFormat="1" ht="15.75" thickBot="1">
      <c r="A59" s="17" t="s">
        <v>409</v>
      </c>
      <c r="B59" s="23" t="s">
        <v>8</v>
      </c>
      <c r="C59" s="80">
        <v>543</v>
      </c>
      <c r="D59" s="76">
        <v>558</v>
      </c>
      <c r="E59" s="76">
        <v>592</v>
      </c>
      <c r="F59" s="76" t="s">
        <v>16</v>
      </c>
    </row>
    <row r="60" spans="1:14" s="2" customFormat="1" ht="15.75" thickBot="1">
      <c r="A60" s="17" t="s">
        <v>410</v>
      </c>
      <c r="B60" s="95" t="s">
        <v>367</v>
      </c>
      <c r="C60" s="76">
        <v>540</v>
      </c>
      <c r="D60" s="76">
        <v>541</v>
      </c>
      <c r="E60" s="76">
        <v>613</v>
      </c>
      <c r="F60" s="76">
        <v>741</v>
      </c>
      <c r="G60" s="76">
        <v>753</v>
      </c>
      <c r="H60" s="76">
        <v>785</v>
      </c>
      <c r="I60" s="76">
        <v>803</v>
      </c>
      <c r="J60" s="11"/>
      <c r="K60" s="14"/>
      <c r="L60" s="15"/>
      <c r="M60" s="5"/>
    </row>
    <row r="61" spans="1:14" s="2" customFormat="1" ht="15.75" thickBot="1">
      <c r="A61" s="17" t="s">
        <v>36</v>
      </c>
      <c r="B61" s="23" t="s">
        <v>8</v>
      </c>
      <c r="C61" s="76">
        <v>505</v>
      </c>
      <c r="D61" s="76">
        <v>508</v>
      </c>
      <c r="E61" s="76" t="s">
        <v>16</v>
      </c>
      <c r="J61" s="15"/>
      <c r="K61" s="5"/>
    </row>
    <row r="62" spans="1:14" s="2" customFormat="1" ht="15">
      <c r="A62" s="40"/>
      <c r="C62" s="38"/>
      <c r="D62" s="38"/>
      <c r="E62" s="38"/>
    </row>
    <row r="63" spans="1:14">
      <c r="A63" s="27"/>
      <c r="B63" s="27" t="s">
        <v>19</v>
      </c>
      <c r="C63" s="28" t="s">
        <v>8</v>
      </c>
      <c r="D63" s="29" t="s">
        <v>3</v>
      </c>
      <c r="E63" s="73" t="s">
        <v>367</v>
      </c>
      <c r="F63" s="27" t="s">
        <v>17</v>
      </c>
    </row>
    <row r="64" spans="1:14" ht="14.25">
      <c r="A64" s="32" t="s">
        <v>5</v>
      </c>
      <c r="B64" s="33">
        <f>SUM(L56+N40+M23+L8)</f>
        <v>30327</v>
      </c>
      <c r="C64" s="34">
        <f>SUM(L53+N36+M20+L5)</f>
        <v>13611</v>
      </c>
      <c r="D64" s="34">
        <v>351</v>
      </c>
      <c r="E64" s="34">
        <f>(L54+N38+L6+M21)</f>
        <v>4361</v>
      </c>
      <c r="F64" s="34">
        <f>SUM(N39+M22+L55+L7)</f>
        <v>12004</v>
      </c>
    </row>
    <row r="65" spans="1:6" ht="14.25">
      <c r="A65" s="32" t="s">
        <v>6</v>
      </c>
      <c r="B65" s="35">
        <v>1</v>
      </c>
      <c r="C65" s="36">
        <f>SUM(C64/$B$64)</f>
        <v>0.44880799287763379</v>
      </c>
      <c r="D65" s="36">
        <f>SUM(D64/$B$64)</f>
        <v>1.1573845088534969E-2</v>
      </c>
      <c r="E65" s="36">
        <f>SUM(E64/$B$64)</f>
        <v>0.14379925478946154</v>
      </c>
      <c r="F65" s="36">
        <f>SUM(F64/$B$64)</f>
        <v>0.39581890724436969</v>
      </c>
    </row>
    <row r="66" spans="1:6" ht="14.25">
      <c r="A66" s="32" t="s">
        <v>7</v>
      </c>
      <c r="B66" s="27">
        <v>25</v>
      </c>
      <c r="C66">
        <v>11</v>
      </c>
      <c r="D66">
        <v>0</v>
      </c>
      <c r="E66">
        <v>3</v>
      </c>
      <c r="F66">
        <v>11</v>
      </c>
    </row>
  </sheetData>
  <sortState ref="A19:D30">
    <sortCondition descending="1" ref="C19:C3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R77"/>
  <sheetViews>
    <sheetView workbookViewId="0">
      <selection activeCell="Q1" sqref="Q1"/>
    </sheetView>
  </sheetViews>
  <sheetFormatPr defaultRowHeight="12.75"/>
  <cols>
    <col min="1" max="1" width="20.28515625" customWidth="1"/>
    <col min="6" max="6" width="9" customWidth="1"/>
    <col min="13" max="13" width="9.42578125" bestFit="1" customWidth="1"/>
  </cols>
  <sheetData>
    <row r="1" spans="1:16" s="2" customFormat="1" ht="14.25">
      <c r="A1" s="1" t="s">
        <v>361</v>
      </c>
    </row>
    <row r="2" spans="1:16" s="2" customFormat="1" ht="9" customHeight="1" thickBot="1">
      <c r="A2" s="1"/>
    </row>
    <row r="3" spans="1:16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/>
      <c r="M3" s="6" t="s">
        <v>289</v>
      </c>
      <c r="N3" s="39">
        <f>(6426/9012)</f>
        <v>0.71304926764314247</v>
      </c>
    </row>
    <row r="4" spans="1:16" s="2" customFormat="1" ht="15.75" thickBot="1">
      <c r="A4" s="7" t="s">
        <v>359</v>
      </c>
      <c r="B4" s="8" t="s">
        <v>8</v>
      </c>
      <c r="C4" s="76">
        <v>971</v>
      </c>
      <c r="D4" s="76">
        <v>972</v>
      </c>
      <c r="E4" s="76">
        <v>1007</v>
      </c>
      <c r="F4" s="76">
        <v>1046</v>
      </c>
      <c r="G4" s="9">
        <v>1183</v>
      </c>
      <c r="H4" s="76"/>
      <c r="I4" s="76"/>
      <c r="J4" s="76"/>
      <c r="K4" s="76"/>
      <c r="L4" s="75" t="s">
        <v>4</v>
      </c>
      <c r="M4" s="5"/>
      <c r="N4" s="6" t="s">
        <v>5</v>
      </c>
      <c r="O4" s="6" t="s">
        <v>6</v>
      </c>
      <c r="P4" s="6" t="s">
        <v>7</v>
      </c>
    </row>
    <row r="5" spans="1:16" s="2" customFormat="1" ht="15.75" thickBot="1">
      <c r="A5" s="7" t="s">
        <v>291</v>
      </c>
      <c r="B5" s="8" t="s">
        <v>8</v>
      </c>
      <c r="C5" s="76">
        <v>681</v>
      </c>
      <c r="D5" s="76">
        <v>751</v>
      </c>
      <c r="E5" s="76">
        <v>752</v>
      </c>
      <c r="F5" s="76">
        <v>754</v>
      </c>
      <c r="G5" s="76">
        <v>759</v>
      </c>
      <c r="H5" s="76">
        <v>764</v>
      </c>
      <c r="I5" s="76">
        <v>904</v>
      </c>
      <c r="J5" s="76">
        <v>944</v>
      </c>
      <c r="K5" s="9">
        <v>979</v>
      </c>
      <c r="L5" s="75" t="s">
        <v>9</v>
      </c>
      <c r="M5" s="13" t="s">
        <v>8</v>
      </c>
      <c r="N5" s="14">
        <f>(C4+C5+C7+C8+C9)</f>
        <v>3239</v>
      </c>
      <c r="O5" s="15">
        <f>SUM(N5/N10)</f>
        <v>0.512094861660079</v>
      </c>
      <c r="P5" s="5">
        <v>4</v>
      </c>
    </row>
    <row r="6" spans="1:16" s="2" customFormat="1" ht="15.75" thickBot="1">
      <c r="A6" s="7" t="s">
        <v>32</v>
      </c>
      <c r="B6" s="20" t="s">
        <v>3</v>
      </c>
      <c r="C6" s="76">
        <v>580</v>
      </c>
      <c r="D6" s="76">
        <v>636</v>
      </c>
      <c r="E6" s="76">
        <v>644</v>
      </c>
      <c r="F6" s="76">
        <v>733</v>
      </c>
      <c r="G6" s="76">
        <v>805</v>
      </c>
      <c r="H6" s="76">
        <v>823</v>
      </c>
      <c r="I6" s="76">
        <v>845</v>
      </c>
      <c r="J6" s="76">
        <v>892</v>
      </c>
      <c r="K6" s="9">
        <v>953</v>
      </c>
      <c r="L6" s="75" t="s">
        <v>10</v>
      </c>
      <c r="M6" s="16" t="s">
        <v>3</v>
      </c>
      <c r="N6" s="14">
        <f>(C6+C14+C16)</f>
        <v>1125</v>
      </c>
      <c r="O6" s="15">
        <f>SUM(N6/N10)</f>
        <v>0.17786561264822134</v>
      </c>
      <c r="P6" s="5">
        <v>1</v>
      </c>
    </row>
    <row r="7" spans="1:16" s="2" customFormat="1" ht="15.75" thickBot="1">
      <c r="A7" s="7" t="s">
        <v>362</v>
      </c>
      <c r="B7" s="8" t="s">
        <v>8</v>
      </c>
      <c r="C7" s="76">
        <v>558</v>
      </c>
      <c r="D7" s="76">
        <v>563</v>
      </c>
      <c r="E7" s="76">
        <v>600</v>
      </c>
      <c r="F7" s="76">
        <v>660</v>
      </c>
      <c r="G7" s="76">
        <v>706</v>
      </c>
      <c r="H7" s="76">
        <v>719</v>
      </c>
      <c r="I7" s="76">
        <v>743</v>
      </c>
      <c r="J7" s="76">
        <v>804</v>
      </c>
      <c r="K7" s="9">
        <v>904</v>
      </c>
      <c r="L7" s="75" t="s">
        <v>15</v>
      </c>
      <c r="M7" s="79" t="s">
        <v>26</v>
      </c>
      <c r="N7" s="14">
        <f>(C11+C12+C15)</f>
        <v>1100</v>
      </c>
      <c r="O7" s="15">
        <f>SUM(N7/N10)</f>
        <v>0.17391304347826086</v>
      </c>
      <c r="P7" s="5"/>
    </row>
    <row r="8" spans="1:16" s="2" customFormat="1" ht="15.75" thickBot="1">
      <c r="A8" s="7" t="s">
        <v>356</v>
      </c>
      <c r="B8" s="8" t="s">
        <v>8</v>
      </c>
      <c r="C8" s="76">
        <v>517</v>
      </c>
      <c r="D8" s="76">
        <v>548</v>
      </c>
      <c r="E8" s="76">
        <v>554</v>
      </c>
      <c r="F8" s="76">
        <v>563</v>
      </c>
      <c r="G8" s="76">
        <v>587</v>
      </c>
      <c r="H8" s="76">
        <v>595</v>
      </c>
      <c r="I8" s="76">
        <v>705</v>
      </c>
      <c r="J8" s="76">
        <v>904</v>
      </c>
      <c r="K8" s="9">
        <v>958</v>
      </c>
      <c r="L8" s="75" t="s">
        <v>12</v>
      </c>
      <c r="M8" s="93" t="s">
        <v>367</v>
      </c>
      <c r="N8" s="38">
        <v>362</v>
      </c>
      <c r="O8" s="39">
        <f>SUM(N8/N10)</f>
        <v>5.7233201581027668E-2</v>
      </c>
    </row>
    <row r="9" spans="1:16" s="2" customFormat="1" ht="15.75" thickBot="1">
      <c r="A9" s="17" t="s">
        <v>365</v>
      </c>
      <c r="B9" s="23" t="s">
        <v>8</v>
      </c>
      <c r="C9" s="76">
        <v>512</v>
      </c>
      <c r="D9" s="76">
        <v>521</v>
      </c>
      <c r="E9" s="76">
        <v>524</v>
      </c>
      <c r="F9" s="76">
        <v>524</v>
      </c>
      <c r="G9" s="76">
        <v>530</v>
      </c>
      <c r="H9" s="76">
        <v>532</v>
      </c>
      <c r="I9" s="76">
        <v>548</v>
      </c>
      <c r="J9" s="76" t="s">
        <v>16</v>
      </c>
      <c r="M9" s="26" t="s">
        <v>17</v>
      </c>
      <c r="N9" s="38">
        <v>499</v>
      </c>
      <c r="O9" s="39">
        <f>SUM(N9/N10)</f>
        <v>7.8893280632411064E-2</v>
      </c>
    </row>
    <row r="10" spans="1:16" s="2" customFormat="1" ht="15.75" thickBot="1">
      <c r="A10" s="17" t="s">
        <v>363</v>
      </c>
      <c r="B10" s="41" t="s">
        <v>18</v>
      </c>
      <c r="C10" s="76">
        <v>499</v>
      </c>
      <c r="D10" s="76">
        <v>510</v>
      </c>
      <c r="E10" s="76">
        <v>515</v>
      </c>
      <c r="F10" s="76">
        <v>530</v>
      </c>
      <c r="G10" s="76">
        <v>575</v>
      </c>
      <c r="H10" s="76">
        <v>593</v>
      </c>
      <c r="I10" s="76">
        <v>605</v>
      </c>
      <c r="J10" s="76">
        <v>625</v>
      </c>
      <c r="K10" s="76" t="s">
        <v>16</v>
      </c>
      <c r="N10" s="22">
        <v>6325</v>
      </c>
    </row>
    <row r="11" spans="1:16" s="2" customFormat="1" ht="15.75" thickBot="1">
      <c r="A11" s="17" t="s">
        <v>364</v>
      </c>
      <c r="B11" s="77" t="s">
        <v>26</v>
      </c>
      <c r="C11" s="76">
        <v>424</v>
      </c>
      <c r="D11" s="76">
        <v>432</v>
      </c>
      <c r="E11" s="76">
        <v>504</v>
      </c>
      <c r="F11" s="76">
        <v>520</v>
      </c>
      <c r="G11" s="76">
        <v>553</v>
      </c>
      <c r="H11" s="76">
        <v>562</v>
      </c>
      <c r="I11" s="76">
        <v>660</v>
      </c>
      <c r="J11" s="76">
        <v>798</v>
      </c>
      <c r="K11" s="76">
        <v>868</v>
      </c>
      <c r="L11" s="75"/>
    </row>
    <row r="12" spans="1:16" s="2" customFormat="1" ht="15.75" thickBot="1">
      <c r="A12" s="17" t="s">
        <v>297</v>
      </c>
      <c r="B12" s="77" t="s">
        <v>26</v>
      </c>
      <c r="C12" s="76">
        <v>379</v>
      </c>
      <c r="D12" s="76">
        <v>417</v>
      </c>
      <c r="E12" s="76">
        <v>471</v>
      </c>
      <c r="F12" s="76">
        <v>485</v>
      </c>
      <c r="G12" s="76">
        <v>502</v>
      </c>
      <c r="H12" s="76">
        <v>508</v>
      </c>
      <c r="I12" s="76" t="s">
        <v>16</v>
      </c>
      <c r="J12" s="22"/>
    </row>
    <row r="13" spans="1:16" s="2" customFormat="1" ht="15.75" thickBot="1">
      <c r="A13" s="17" t="s">
        <v>368</v>
      </c>
      <c r="B13" s="95" t="s">
        <v>367</v>
      </c>
      <c r="C13" s="76">
        <v>362</v>
      </c>
      <c r="D13" s="76">
        <v>364</v>
      </c>
      <c r="E13" s="76">
        <v>394</v>
      </c>
      <c r="F13" s="76">
        <v>454</v>
      </c>
      <c r="G13" s="76" t="s">
        <v>16</v>
      </c>
      <c r="I13" s="38"/>
    </row>
    <row r="14" spans="1:16" s="2" customFormat="1" ht="15.75" thickBot="1">
      <c r="A14" s="17" t="s">
        <v>366</v>
      </c>
      <c r="B14" s="25" t="s">
        <v>3</v>
      </c>
      <c r="C14" s="76">
        <v>298</v>
      </c>
      <c r="D14" s="76">
        <v>302</v>
      </c>
      <c r="E14" s="76">
        <v>335</v>
      </c>
      <c r="F14" s="76" t="s">
        <v>16</v>
      </c>
      <c r="G14" s="38"/>
      <c r="H14" s="38"/>
      <c r="I14" s="38"/>
      <c r="J14" s="22"/>
    </row>
    <row r="15" spans="1:16" s="2" customFormat="1" ht="15.75" thickBot="1">
      <c r="A15" s="17" t="s">
        <v>370</v>
      </c>
      <c r="B15" s="77" t="s">
        <v>26</v>
      </c>
      <c r="C15" s="76">
        <v>297</v>
      </c>
      <c r="D15" s="76">
        <v>302</v>
      </c>
      <c r="E15" s="76" t="s">
        <v>16</v>
      </c>
      <c r="F15" s="38"/>
      <c r="G15" s="38"/>
      <c r="H15" s="38"/>
      <c r="I15" s="38"/>
    </row>
    <row r="16" spans="1:16" s="2" customFormat="1" ht="15.75" thickBot="1">
      <c r="A16" s="17" t="s">
        <v>369</v>
      </c>
      <c r="B16" s="25" t="s">
        <v>3</v>
      </c>
      <c r="C16" s="76">
        <v>247</v>
      </c>
      <c r="D16" s="76" t="s">
        <v>16</v>
      </c>
      <c r="E16" s="38"/>
      <c r="F16" s="38"/>
      <c r="G16" s="38"/>
      <c r="H16" s="38"/>
      <c r="I16" s="38"/>
    </row>
    <row r="17" spans="1:18" s="2" customFormat="1" ht="14.25">
      <c r="C17" s="38"/>
    </row>
    <row r="18" spans="1:18" s="2" customFormat="1" ht="14.25">
      <c r="A18" s="1" t="s">
        <v>371</v>
      </c>
    </row>
    <row r="19" spans="1:18" s="2" customFormat="1" ht="9.75" customHeight="1" thickBot="1">
      <c r="A19" s="1"/>
    </row>
    <row r="20" spans="1:18" s="2" customFormat="1" ht="15.75" thickBot="1">
      <c r="A20" s="3" t="s">
        <v>0</v>
      </c>
      <c r="B20" s="4" t="s">
        <v>1</v>
      </c>
      <c r="C20" s="4" t="s">
        <v>2</v>
      </c>
      <c r="D20" s="4">
        <v>2</v>
      </c>
      <c r="E20" s="4">
        <v>3</v>
      </c>
      <c r="F20" s="4">
        <v>4</v>
      </c>
      <c r="G20" s="4">
        <v>5</v>
      </c>
      <c r="H20" s="4">
        <v>6</v>
      </c>
      <c r="I20" s="4">
        <v>7</v>
      </c>
      <c r="J20" s="4">
        <v>8</v>
      </c>
      <c r="K20" s="4">
        <v>9</v>
      </c>
      <c r="L20" s="4">
        <v>10</v>
      </c>
      <c r="M20" s="4">
        <v>11</v>
      </c>
      <c r="N20" s="4"/>
      <c r="O20" s="6" t="s">
        <v>289</v>
      </c>
      <c r="P20" s="39">
        <f>(8010/11832)</f>
        <v>0.67697768762677479</v>
      </c>
    </row>
    <row r="21" spans="1:18" s="2" customFormat="1" ht="15.75" thickBot="1">
      <c r="A21" s="7" t="s">
        <v>301</v>
      </c>
      <c r="B21" s="84" t="s">
        <v>26</v>
      </c>
      <c r="C21" s="9">
        <v>1464</v>
      </c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5" t="s">
        <v>4</v>
      </c>
      <c r="O21" s="5"/>
      <c r="P21" s="6" t="s">
        <v>5</v>
      </c>
      <c r="Q21" s="6" t="s">
        <v>6</v>
      </c>
      <c r="R21" s="6" t="s">
        <v>7</v>
      </c>
    </row>
    <row r="22" spans="1:18" s="2" customFormat="1" ht="15.75" thickBot="1">
      <c r="A22" s="7" t="s">
        <v>300</v>
      </c>
      <c r="B22" s="42" t="s">
        <v>18</v>
      </c>
      <c r="C22" s="76">
        <v>698</v>
      </c>
      <c r="D22" s="76">
        <v>708</v>
      </c>
      <c r="E22" s="76">
        <v>720</v>
      </c>
      <c r="F22" s="76">
        <v>729</v>
      </c>
      <c r="G22" s="76">
        <v>734</v>
      </c>
      <c r="H22" s="76">
        <v>781</v>
      </c>
      <c r="I22" s="76">
        <v>791</v>
      </c>
      <c r="J22" s="76">
        <v>807</v>
      </c>
      <c r="K22" s="9">
        <v>1310</v>
      </c>
      <c r="L22" s="76"/>
      <c r="M22" s="76"/>
      <c r="N22" s="75" t="s">
        <v>9</v>
      </c>
      <c r="O22" s="13" t="s">
        <v>8</v>
      </c>
      <c r="P22" s="14">
        <f>(C25+C27+C28+C29)</f>
        <v>2112</v>
      </c>
      <c r="Q22" s="15">
        <f>SUM(P22/P27)</f>
        <v>0.26870229007633589</v>
      </c>
      <c r="R22" s="5">
        <v>3</v>
      </c>
    </row>
    <row r="23" spans="1:18" s="2" customFormat="1" ht="15.75" thickBot="1">
      <c r="A23" s="7" t="s">
        <v>352</v>
      </c>
      <c r="B23" s="20" t="s">
        <v>3</v>
      </c>
      <c r="C23" s="76">
        <v>639</v>
      </c>
      <c r="D23" s="76">
        <v>684</v>
      </c>
      <c r="E23" s="76">
        <v>698</v>
      </c>
      <c r="F23" s="76">
        <v>728</v>
      </c>
      <c r="G23" s="76">
        <v>771</v>
      </c>
      <c r="H23" s="76">
        <v>802</v>
      </c>
      <c r="I23" s="76">
        <v>828</v>
      </c>
      <c r="J23" s="76">
        <v>941</v>
      </c>
      <c r="K23" s="76">
        <v>948</v>
      </c>
      <c r="L23" s="9">
        <v>1007</v>
      </c>
      <c r="M23" s="76"/>
      <c r="N23" s="75" t="s">
        <v>12</v>
      </c>
      <c r="O23" s="16" t="s">
        <v>3</v>
      </c>
      <c r="P23" s="14">
        <f>(C23+C24)</f>
        <v>1263</v>
      </c>
      <c r="Q23" s="15">
        <f>SUM(P23/P27)</f>
        <v>0.16068702290076337</v>
      </c>
      <c r="R23" s="5">
        <v>2</v>
      </c>
    </row>
    <row r="24" spans="1:18" s="2" customFormat="1" ht="15.75" thickBot="1">
      <c r="A24" s="7" t="s">
        <v>302</v>
      </c>
      <c r="B24" s="20" t="s">
        <v>3</v>
      </c>
      <c r="C24" s="76">
        <v>624</v>
      </c>
      <c r="D24" s="76">
        <v>646</v>
      </c>
      <c r="E24" s="76">
        <v>649</v>
      </c>
      <c r="F24" s="76">
        <v>662</v>
      </c>
      <c r="G24" s="76">
        <v>672</v>
      </c>
      <c r="H24" s="76">
        <v>682</v>
      </c>
      <c r="I24" s="76">
        <v>756</v>
      </c>
      <c r="J24" s="76">
        <v>965</v>
      </c>
      <c r="K24" s="76">
        <v>972</v>
      </c>
      <c r="L24" s="76">
        <v>980</v>
      </c>
      <c r="M24" s="9">
        <v>983</v>
      </c>
      <c r="N24" s="75" t="s">
        <v>10</v>
      </c>
      <c r="O24" s="79" t="s">
        <v>26</v>
      </c>
      <c r="P24" s="14">
        <f>(C21+C31)</f>
        <v>1840</v>
      </c>
      <c r="Q24" s="15">
        <f>SUM(P24/P27)</f>
        <v>0.2340966921119593</v>
      </c>
      <c r="R24" s="5">
        <v>1</v>
      </c>
    </row>
    <row r="25" spans="1:18" s="2" customFormat="1" ht="15.75" thickBot="1">
      <c r="A25" s="7" t="s">
        <v>98</v>
      </c>
      <c r="B25" s="8" t="s">
        <v>8</v>
      </c>
      <c r="C25" s="76">
        <v>618</v>
      </c>
      <c r="D25" s="76">
        <v>637</v>
      </c>
      <c r="E25" s="76">
        <v>640</v>
      </c>
      <c r="F25" s="76">
        <v>660</v>
      </c>
      <c r="G25" s="76">
        <v>705</v>
      </c>
      <c r="H25" s="76">
        <v>708</v>
      </c>
      <c r="I25" s="76">
        <v>836</v>
      </c>
      <c r="J25" s="76">
        <v>860</v>
      </c>
      <c r="K25" s="76">
        <v>877</v>
      </c>
      <c r="L25" s="76">
        <v>899</v>
      </c>
      <c r="M25" s="9">
        <v>905</v>
      </c>
      <c r="N25" s="75" t="s">
        <v>15</v>
      </c>
      <c r="O25" s="93" t="s">
        <v>367</v>
      </c>
      <c r="P25" s="38">
        <f>(C30+C32)</f>
        <v>698</v>
      </c>
      <c r="Q25" s="39">
        <f>SUM(P25/P27)</f>
        <v>8.8804071246819341E-2</v>
      </c>
    </row>
    <row r="26" spans="1:18" s="2" customFormat="1" ht="15.75" thickBot="1">
      <c r="A26" s="17" t="s">
        <v>376</v>
      </c>
      <c r="B26" s="41" t="s">
        <v>18</v>
      </c>
      <c r="C26" s="76">
        <v>597</v>
      </c>
      <c r="D26" s="76">
        <v>599</v>
      </c>
      <c r="E26" s="76">
        <v>599</v>
      </c>
      <c r="F26" s="76">
        <v>605</v>
      </c>
      <c r="G26" s="76">
        <v>619</v>
      </c>
      <c r="H26" s="76">
        <v>628</v>
      </c>
      <c r="I26" s="76">
        <v>634</v>
      </c>
      <c r="J26" s="76">
        <v>647</v>
      </c>
      <c r="K26" s="76" t="s">
        <v>16</v>
      </c>
      <c r="O26" s="26" t="s">
        <v>17</v>
      </c>
      <c r="P26" s="14">
        <f>(C22+C26+C33+C34+C35)</f>
        <v>1947</v>
      </c>
      <c r="Q26" s="15">
        <f>SUM(P26/P27)</f>
        <v>0.24770992366412214</v>
      </c>
      <c r="R26" s="5">
        <v>1</v>
      </c>
    </row>
    <row r="27" spans="1:18" s="2" customFormat="1" ht="15.75" thickBot="1">
      <c r="A27" s="7" t="s">
        <v>372</v>
      </c>
      <c r="B27" s="8" t="s">
        <v>8</v>
      </c>
      <c r="C27" s="76">
        <v>508</v>
      </c>
      <c r="D27" s="76">
        <v>544</v>
      </c>
      <c r="E27" s="76">
        <v>549</v>
      </c>
      <c r="F27" s="76">
        <v>588</v>
      </c>
      <c r="G27" s="76">
        <v>590</v>
      </c>
      <c r="H27" s="76">
        <v>600</v>
      </c>
      <c r="I27" s="76">
        <v>775</v>
      </c>
      <c r="J27" s="76">
        <v>812</v>
      </c>
      <c r="K27" s="76">
        <v>816</v>
      </c>
      <c r="L27" s="76">
        <v>819</v>
      </c>
      <c r="M27" s="9">
        <v>821</v>
      </c>
      <c r="N27" s="9" t="s">
        <v>14</v>
      </c>
      <c r="P27" s="22">
        <v>7860</v>
      </c>
    </row>
    <row r="28" spans="1:18" s="2" customFormat="1" ht="15.75" thickBot="1">
      <c r="A28" s="7" t="s">
        <v>375</v>
      </c>
      <c r="B28" s="8" t="s">
        <v>8</v>
      </c>
      <c r="C28" s="76">
        <v>503</v>
      </c>
      <c r="D28" s="76">
        <v>526</v>
      </c>
      <c r="E28" s="76">
        <v>553</v>
      </c>
      <c r="F28" s="76">
        <v>570</v>
      </c>
      <c r="G28" s="76">
        <v>578</v>
      </c>
      <c r="H28" s="76">
        <v>657</v>
      </c>
      <c r="I28" s="76">
        <v>705</v>
      </c>
      <c r="J28" s="76">
        <v>741</v>
      </c>
      <c r="K28" s="76">
        <v>751</v>
      </c>
      <c r="L28" s="76">
        <v>753</v>
      </c>
      <c r="M28" s="9">
        <v>753</v>
      </c>
      <c r="N28" s="75" t="s">
        <v>57</v>
      </c>
    </row>
    <row r="29" spans="1:18" s="2" customFormat="1" ht="15.75" thickBot="1">
      <c r="A29" s="17" t="s">
        <v>374</v>
      </c>
      <c r="B29" s="23" t="s">
        <v>8</v>
      </c>
      <c r="C29" s="76">
        <v>483</v>
      </c>
      <c r="D29" s="76">
        <v>536</v>
      </c>
      <c r="E29" s="76">
        <v>541</v>
      </c>
      <c r="F29" s="76">
        <v>569</v>
      </c>
      <c r="G29" s="76">
        <v>576</v>
      </c>
      <c r="H29" s="76">
        <v>582</v>
      </c>
      <c r="I29" s="76" t="s">
        <v>16</v>
      </c>
    </row>
    <row r="30" spans="1:18" s="2" customFormat="1" ht="15.75" thickBot="1">
      <c r="A30" s="17" t="s">
        <v>380</v>
      </c>
      <c r="B30" s="95" t="s">
        <v>367</v>
      </c>
      <c r="C30" s="76">
        <v>410</v>
      </c>
      <c r="D30" s="76">
        <v>415</v>
      </c>
      <c r="E30" s="76">
        <v>467</v>
      </c>
      <c r="F30" s="76">
        <v>474</v>
      </c>
      <c r="G30" s="76">
        <v>573</v>
      </c>
      <c r="H30" s="76">
        <v>586</v>
      </c>
      <c r="I30" s="76">
        <v>613</v>
      </c>
      <c r="J30" s="76" t="s">
        <v>16</v>
      </c>
    </row>
    <row r="31" spans="1:18" s="2" customFormat="1" ht="15.75" thickBot="1">
      <c r="A31" s="17" t="s">
        <v>377</v>
      </c>
      <c r="B31" s="77" t="s">
        <v>26</v>
      </c>
      <c r="C31" s="76">
        <v>376</v>
      </c>
      <c r="D31" s="76">
        <v>541</v>
      </c>
      <c r="E31" s="76">
        <v>546</v>
      </c>
      <c r="F31" s="76">
        <v>596</v>
      </c>
      <c r="G31" s="76">
        <v>642</v>
      </c>
      <c r="H31" s="76">
        <v>650</v>
      </c>
      <c r="I31" s="76">
        <v>670</v>
      </c>
      <c r="J31" s="76">
        <v>689</v>
      </c>
      <c r="K31" s="76">
        <v>719</v>
      </c>
      <c r="L31" s="76">
        <v>750</v>
      </c>
      <c r="M31" s="76">
        <v>751</v>
      </c>
      <c r="N31" s="75"/>
    </row>
    <row r="32" spans="1:18" s="2" customFormat="1" ht="15.75" thickBot="1">
      <c r="A32" s="17" t="s">
        <v>379</v>
      </c>
      <c r="B32" s="95" t="s">
        <v>367</v>
      </c>
      <c r="C32" s="76">
        <v>288</v>
      </c>
      <c r="D32" s="76">
        <v>297</v>
      </c>
      <c r="E32" s="76">
        <v>305</v>
      </c>
      <c r="F32" s="76">
        <v>314</v>
      </c>
      <c r="G32" s="76" t="s">
        <v>16</v>
      </c>
      <c r="H32" s="38"/>
      <c r="I32" s="38"/>
      <c r="J32" s="38"/>
      <c r="K32" s="38"/>
      <c r="L32" s="38"/>
      <c r="M32" s="38"/>
    </row>
    <row r="33" spans="1:17" s="2" customFormat="1" ht="15.75" thickBot="1">
      <c r="A33" s="17" t="s">
        <v>378</v>
      </c>
      <c r="B33" s="41" t="s">
        <v>18</v>
      </c>
      <c r="C33" s="76">
        <v>241</v>
      </c>
      <c r="D33" s="76">
        <v>257</v>
      </c>
      <c r="E33" s="76">
        <v>310</v>
      </c>
      <c r="F33" s="76">
        <v>317</v>
      </c>
      <c r="G33" s="76">
        <v>320</v>
      </c>
      <c r="H33" s="76" t="s">
        <v>16</v>
      </c>
      <c r="I33" s="38"/>
      <c r="J33" s="38"/>
      <c r="K33" s="38"/>
      <c r="L33" s="38"/>
      <c r="M33" s="38"/>
    </row>
    <row r="34" spans="1:17" s="2" customFormat="1" ht="15.75" thickBot="1">
      <c r="A34" s="17" t="s">
        <v>284</v>
      </c>
      <c r="B34" s="41" t="s">
        <v>373</v>
      </c>
      <c r="C34" s="76">
        <v>220</v>
      </c>
      <c r="D34" s="76">
        <v>271</v>
      </c>
      <c r="E34" s="76">
        <v>277</v>
      </c>
      <c r="F34" s="76" t="s">
        <v>16</v>
      </c>
      <c r="H34" s="38"/>
      <c r="I34" s="38"/>
      <c r="J34" s="38"/>
      <c r="K34" s="38"/>
      <c r="L34" s="38"/>
      <c r="M34" s="38"/>
    </row>
    <row r="35" spans="1:17" s="2" customFormat="1" ht="15.75" thickBot="1">
      <c r="A35" s="17" t="s">
        <v>381</v>
      </c>
      <c r="B35" s="41" t="s">
        <v>18</v>
      </c>
      <c r="C35" s="76">
        <v>191</v>
      </c>
      <c r="D35" s="76">
        <v>216</v>
      </c>
      <c r="E35" s="76" t="s">
        <v>16</v>
      </c>
      <c r="H35" s="38"/>
      <c r="I35" s="38"/>
      <c r="J35" s="38"/>
      <c r="K35" s="38"/>
      <c r="L35" s="38"/>
      <c r="M35" s="38"/>
    </row>
    <row r="36" spans="1:17" s="2" customFormat="1" ht="14.25">
      <c r="C36" s="38"/>
    </row>
    <row r="37" spans="1:17" s="2" customFormat="1" ht="14.25">
      <c r="A37" s="1" t="s">
        <v>382</v>
      </c>
    </row>
    <row r="38" spans="1:17" s="2" customFormat="1" ht="9" customHeight="1" thickBot="1">
      <c r="A38" s="1"/>
    </row>
    <row r="39" spans="1:17" s="2" customFormat="1" ht="15.75" thickBot="1">
      <c r="A39" s="3" t="s">
        <v>0</v>
      </c>
      <c r="B39" s="4" t="s">
        <v>1</v>
      </c>
      <c r="C39" s="4" t="s">
        <v>2</v>
      </c>
      <c r="D39" s="4">
        <v>2</v>
      </c>
      <c r="E39" s="4">
        <v>3</v>
      </c>
      <c r="F39" s="4">
        <v>4</v>
      </c>
      <c r="G39" s="4">
        <v>5</v>
      </c>
      <c r="H39" s="4">
        <v>6</v>
      </c>
      <c r="I39" s="4">
        <v>7</v>
      </c>
      <c r="J39" s="4">
        <v>8</v>
      </c>
      <c r="K39" s="4">
        <v>9</v>
      </c>
      <c r="L39" s="4">
        <v>10</v>
      </c>
      <c r="M39" s="4"/>
      <c r="N39" s="6" t="s">
        <v>289</v>
      </c>
      <c r="O39" s="39">
        <f>(7926/11446)</f>
        <v>0.69246898479818275</v>
      </c>
    </row>
    <row r="40" spans="1:17" s="2" customFormat="1" ht="15.75" thickBot="1">
      <c r="A40" s="7" t="s">
        <v>66</v>
      </c>
      <c r="B40" s="8" t="s">
        <v>8</v>
      </c>
      <c r="C40" s="9">
        <v>994</v>
      </c>
      <c r="D40" s="76"/>
      <c r="E40" s="76"/>
      <c r="F40" s="76"/>
      <c r="G40" s="76"/>
      <c r="H40" s="76"/>
      <c r="I40" s="76"/>
      <c r="J40" s="76"/>
      <c r="K40" s="76"/>
      <c r="L40" s="76"/>
      <c r="M40" s="75" t="s">
        <v>4</v>
      </c>
      <c r="N40" s="5"/>
      <c r="O40" s="6" t="s">
        <v>5</v>
      </c>
      <c r="P40" s="6" t="s">
        <v>6</v>
      </c>
      <c r="Q40" s="6" t="s">
        <v>7</v>
      </c>
    </row>
    <row r="41" spans="1:17" s="2" customFormat="1" ht="15.75" thickBot="1">
      <c r="A41" s="7" t="s">
        <v>308</v>
      </c>
      <c r="B41" s="20" t="s">
        <v>3</v>
      </c>
      <c r="C41" s="76">
        <v>906</v>
      </c>
      <c r="D41" s="76">
        <v>908</v>
      </c>
      <c r="E41" s="76">
        <v>914</v>
      </c>
      <c r="F41" s="76">
        <v>941</v>
      </c>
      <c r="G41" s="9">
        <v>1025</v>
      </c>
      <c r="H41" s="76"/>
      <c r="I41" s="76"/>
      <c r="J41" s="76"/>
      <c r="K41" s="76"/>
      <c r="L41" s="76"/>
      <c r="M41" s="75" t="s">
        <v>9</v>
      </c>
      <c r="N41" s="13" t="s">
        <v>8</v>
      </c>
      <c r="O41" s="14">
        <f>(C40+C42+C44+C45)</f>
        <v>3180</v>
      </c>
      <c r="P41" s="15">
        <f>SUM(O41/O46)</f>
        <v>0.40680567992836125</v>
      </c>
      <c r="Q41" s="5">
        <v>3</v>
      </c>
    </row>
    <row r="42" spans="1:17" s="2" customFormat="1" ht="15.75" thickBot="1">
      <c r="A42" s="7" t="s">
        <v>62</v>
      </c>
      <c r="B42" s="8" t="s">
        <v>8</v>
      </c>
      <c r="C42" s="76">
        <v>893</v>
      </c>
      <c r="D42" s="76">
        <v>897</v>
      </c>
      <c r="E42" s="76">
        <v>926</v>
      </c>
      <c r="F42" s="76">
        <v>935</v>
      </c>
      <c r="G42" s="76">
        <v>944</v>
      </c>
      <c r="H42" s="76">
        <v>946</v>
      </c>
      <c r="I42" s="76">
        <v>974</v>
      </c>
      <c r="J42" s="9">
        <v>988</v>
      </c>
      <c r="K42" s="76"/>
      <c r="L42" s="76"/>
      <c r="M42" s="75" t="s">
        <v>10</v>
      </c>
      <c r="N42" s="16" t="s">
        <v>3</v>
      </c>
      <c r="O42" s="14">
        <f>(C41+C47+C49+C51)</f>
        <v>2129</v>
      </c>
      <c r="P42" s="15">
        <f>SUM(O42/O46)</f>
        <v>0.27235512344889345</v>
      </c>
      <c r="Q42" s="5">
        <v>2</v>
      </c>
    </row>
    <row r="43" spans="1:17" s="2" customFormat="1" ht="15.75" thickBot="1">
      <c r="A43" s="7" t="s">
        <v>383</v>
      </c>
      <c r="B43" s="42" t="s">
        <v>18</v>
      </c>
      <c r="C43" s="76">
        <v>692</v>
      </c>
      <c r="D43" s="76">
        <v>692</v>
      </c>
      <c r="E43" s="76">
        <v>692</v>
      </c>
      <c r="F43" s="76">
        <v>699</v>
      </c>
      <c r="G43" s="76">
        <v>703</v>
      </c>
      <c r="H43" s="76">
        <v>703</v>
      </c>
      <c r="I43" s="76">
        <v>712</v>
      </c>
      <c r="J43" s="9">
        <v>1169</v>
      </c>
      <c r="K43" s="76"/>
      <c r="L43" s="76"/>
      <c r="M43" s="75" t="s">
        <v>12</v>
      </c>
      <c r="N43" s="79" t="s">
        <v>26</v>
      </c>
      <c r="O43" s="14">
        <f>(C50+C53+C52)</f>
        <v>729</v>
      </c>
      <c r="P43" s="15">
        <f>SUM(O43/O46)</f>
        <v>9.3258283228860178E-2</v>
      </c>
      <c r="Q43" s="5"/>
    </row>
    <row r="44" spans="1:17" s="2" customFormat="1" ht="15.75" thickBot="1">
      <c r="A44" s="7" t="s">
        <v>332</v>
      </c>
      <c r="B44" s="8" t="s">
        <v>8</v>
      </c>
      <c r="C44" s="76">
        <v>670</v>
      </c>
      <c r="D44" s="76">
        <v>674</v>
      </c>
      <c r="E44" s="76">
        <v>679</v>
      </c>
      <c r="F44" s="76">
        <v>681</v>
      </c>
      <c r="G44" s="76">
        <v>714</v>
      </c>
      <c r="H44" s="76">
        <v>715</v>
      </c>
      <c r="I44" s="76">
        <v>747</v>
      </c>
      <c r="J44" s="76">
        <v>753</v>
      </c>
      <c r="K44" s="76">
        <v>767</v>
      </c>
      <c r="L44" s="9">
        <v>806</v>
      </c>
      <c r="M44" s="11" t="s">
        <v>57</v>
      </c>
      <c r="N44" s="93" t="s">
        <v>367</v>
      </c>
      <c r="O44" s="38">
        <v>500</v>
      </c>
      <c r="P44" s="39">
        <f>SUM(O44/O46)</f>
        <v>6.3963157221440456E-2</v>
      </c>
      <c r="Q44" s="2">
        <v>1</v>
      </c>
    </row>
    <row r="45" spans="1:17" s="2" customFormat="1" ht="15.75" thickBot="1">
      <c r="A45" s="17" t="s">
        <v>313</v>
      </c>
      <c r="B45" s="23" t="s">
        <v>8</v>
      </c>
      <c r="C45" s="76">
        <v>623</v>
      </c>
      <c r="D45" s="76">
        <v>624</v>
      </c>
      <c r="E45" s="76">
        <v>627</v>
      </c>
      <c r="F45" s="76">
        <v>630</v>
      </c>
      <c r="G45" s="76">
        <v>648</v>
      </c>
      <c r="H45" s="76">
        <v>649</v>
      </c>
      <c r="I45" s="76">
        <v>694</v>
      </c>
      <c r="J45" s="76">
        <v>702</v>
      </c>
      <c r="K45" s="76">
        <v>746</v>
      </c>
      <c r="L45" s="76">
        <v>767</v>
      </c>
      <c r="M45" s="75"/>
      <c r="N45" s="6" t="s">
        <v>17</v>
      </c>
      <c r="O45" s="38">
        <f>(C43+C46)</f>
        <v>1279</v>
      </c>
      <c r="P45" s="39">
        <f>SUM(O45/O46)</f>
        <v>0.16361775617244467</v>
      </c>
      <c r="Q45" s="2">
        <v>1</v>
      </c>
    </row>
    <row r="46" spans="1:17" s="2" customFormat="1" ht="15.75" thickBot="1">
      <c r="A46" s="17" t="s">
        <v>386</v>
      </c>
      <c r="B46" s="41" t="s">
        <v>18</v>
      </c>
      <c r="C46" s="76">
        <v>587</v>
      </c>
      <c r="D46" s="76">
        <v>587</v>
      </c>
      <c r="E46" s="76">
        <v>588</v>
      </c>
      <c r="F46" s="76">
        <v>592</v>
      </c>
      <c r="G46" s="76">
        <v>592</v>
      </c>
      <c r="H46" s="76">
        <v>593</v>
      </c>
      <c r="I46" s="76">
        <v>595</v>
      </c>
      <c r="J46" s="76" t="s">
        <v>16</v>
      </c>
      <c r="O46" s="22">
        <v>7817</v>
      </c>
    </row>
    <row r="47" spans="1:17" s="2" customFormat="1" ht="15.75" thickBot="1">
      <c r="A47" s="7" t="s">
        <v>384</v>
      </c>
      <c r="B47" s="20" t="s">
        <v>3</v>
      </c>
      <c r="C47" s="76">
        <v>504</v>
      </c>
      <c r="D47" s="76">
        <v>505</v>
      </c>
      <c r="E47" s="76">
        <v>511</v>
      </c>
      <c r="F47" s="76">
        <v>593</v>
      </c>
      <c r="G47" s="76">
        <v>610</v>
      </c>
      <c r="H47" s="76">
        <v>633</v>
      </c>
      <c r="I47" s="76">
        <v>705</v>
      </c>
      <c r="J47" s="76">
        <v>720</v>
      </c>
      <c r="K47" s="76">
        <v>741</v>
      </c>
      <c r="L47" s="9">
        <v>935</v>
      </c>
      <c r="M47" s="75" t="s">
        <v>15</v>
      </c>
    </row>
    <row r="48" spans="1:17" s="2" customFormat="1" ht="15.75" thickBot="1">
      <c r="A48" s="7" t="s">
        <v>385</v>
      </c>
      <c r="B48" s="96" t="s">
        <v>367</v>
      </c>
      <c r="C48" s="76">
        <v>500</v>
      </c>
      <c r="D48" s="76">
        <v>501</v>
      </c>
      <c r="E48" s="76">
        <v>506</v>
      </c>
      <c r="F48" s="76">
        <v>511</v>
      </c>
      <c r="G48" s="76">
        <v>538</v>
      </c>
      <c r="H48" s="76">
        <v>540</v>
      </c>
      <c r="I48" s="76">
        <v>625</v>
      </c>
      <c r="J48" s="76">
        <v>648</v>
      </c>
      <c r="K48" s="76">
        <v>726</v>
      </c>
      <c r="L48" s="9">
        <v>871</v>
      </c>
      <c r="M48" s="75" t="s">
        <v>14</v>
      </c>
    </row>
    <row r="49" spans="1:17" s="2" customFormat="1" ht="15.75" thickBot="1">
      <c r="A49" s="17" t="s">
        <v>388</v>
      </c>
      <c r="B49" s="25" t="s">
        <v>3</v>
      </c>
      <c r="C49" s="76">
        <v>467</v>
      </c>
      <c r="D49" s="76">
        <v>468</v>
      </c>
      <c r="E49" s="76">
        <v>484</v>
      </c>
      <c r="F49" s="76">
        <v>487</v>
      </c>
      <c r="G49" s="76">
        <v>527</v>
      </c>
      <c r="H49" s="76">
        <v>542</v>
      </c>
      <c r="I49" s="76">
        <v>602</v>
      </c>
      <c r="J49" s="76">
        <v>605</v>
      </c>
      <c r="K49" s="76">
        <v>612</v>
      </c>
      <c r="L49" s="76" t="s">
        <v>16</v>
      </c>
    </row>
    <row r="50" spans="1:17" s="2" customFormat="1" ht="15.75" thickBot="1">
      <c r="A50" s="17" t="s">
        <v>337</v>
      </c>
      <c r="B50" s="77" t="s">
        <v>26</v>
      </c>
      <c r="C50" s="76">
        <v>404</v>
      </c>
      <c r="D50" s="76">
        <v>404</v>
      </c>
      <c r="E50" s="76">
        <v>443</v>
      </c>
      <c r="F50" s="76">
        <v>483</v>
      </c>
      <c r="G50" s="76">
        <v>499</v>
      </c>
      <c r="H50" s="76">
        <v>501</v>
      </c>
      <c r="I50" s="76" t="s">
        <v>16</v>
      </c>
    </row>
    <row r="51" spans="1:17" s="2" customFormat="1" ht="15.75" thickBot="1">
      <c r="A51" s="17" t="s">
        <v>390</v>
      </c>
      <c r="B51" s="25" t="s">
        <v>3</v>
      </c>
      <c r="C51" s="80">
        <v>252</v>
      </c>
      <c r="D51" s="76">
        <v>253</v>
      </c>
      <c r="E51" s="76">
        <v>255</v>
      </c>
      <c r="F51" s="76">
        <v>257</v>
      </c>
      <c r="G51" s="76" t="s">
        <v>16</v>
      </c>
    </row>
    <row r="52" spans="1:17" s="2" customFormat="1" ht="15.75" thickBot="1">
      <c r="A52" s="17" t="s">
        <v>389</v>
      </c>
      <c r="B52" s="77" t="s">
        <v>26</v>
      </c>
      <c r="C52" s="80">
        <v>177</v>
      </c>
      <c r="D52" s="76">
        <v>178</v>
      </c>
      <c r="E52" s="76">
        <v>206</v>
      </c>
      <c r="F52" s="76" t="s">
        <v>16</v>
      </c>
    </row>
    <row r="53" spans="1:17" s="2" customFormat="1" ht="15.75" thickBot="1">
      <c r="A53" s="17" t="s">
        <v>387</v>
      </c>
      <c r="B53" s="77" t="s">
        <v>26</v>
      </c>
      <c r="C53" s="76">
        <v>148</v>
      </c>
      <c r="D53" s="76">
        <v>148</v>
      </c>
      <c r="E53" s="76" t="s">
        <v>16</v>
      </c>
    </row>
    <row r="54" spans="1:17" s="2" customFormat="1" ht="14.25">
      <c r="C54" s="38"/>
    </row>
    <row r="55" spans="1:17" s="2" customFormat="1" ht="14.25">
      <c r="A55" s="1" t="s">
        <v>391</v>
      </c>
    </row>
    <row r="56" spans="1:17" s="2" customFormat="1" ht="9.75" customHeight="1" thickBot="1">
      <c r="A56" s="1"/>
    </row>
    <row r="57" spans="1:17" s="2" customFormat="1" ht="15.75" thickBot="1">
      <c r="A57" s="3" t="s">
        <v>0</v>
      </c>
      <c r="B57" s="4" t="s">
        <v>1</v>
      </c>
      <c r="C57" s="4" t="s">
        <v>2</v>
      </c>
      <c r="D57" s="4">
        <v>2</v>
      </c>
      <c r="E57" s="4">
        <v>3</v>
      </c>
      <c r="F57" s="4">
        <v>4</v>
      </c>
      <c r="G57" s="4">
        <v>5</v>
      </c>
      <c r="H57" s="4">
        <v>6</v>
      </c>
      <c r="I57" s="4">
        <v>7</v>
      </c>
      <c r="J57" s="4">
        <v>8</v>
      </c>
      <c r="K57" s="4">
        <v>9</v>
      </c>
      <c r="L57" s="4">
        <v>10</v>
      </c>
      <c r="M57" s="4"/>
      <c r="N57" s="6" t="s">
        <v>289</v>
      </c>
      <c r="O57" s="39">
        <f>(7393/10428)</f>
        <v>0.70895665515918682</v>
      </c>
    </row>
    <row r="58" spans="1:17" s="2" customFormat="1" ht="15.75" thickBot="1">
      <c r="A58" s="7" t="s">
        <v>78</v>
      </c>
      <c r="B58" s="8" t="s">
        <v>8</v>
      </c>
      <c r="C58" s="76">
        <v>993</v>
      </c>
      <c r="D58" s="76">
        <v>997</v>
      </c>
      <c r="E58" s="76">
        <v>1022</v>
      </c>
      <c r="F58" s="76">
        <v>1030</v>
      </c>
      <c r="G58" s="9">
        <v>1148</v>
      </c>
      <c r="H58" s="76"/>
      <c r="I58" s="76"/>
      <c r="J58" s="76"/>
      <c r="K58" s="76"/>
      <c r="L58" s="76"/>
      <c r="M58" s="11" t="s">
        <v>9</v>
      </c>
      <c r="N58" s="5"/>
      <c r="O58" s="6" t="s">
        <v>5</v>
      </c>
      <c r="P58" s="6" t="s">
        <v>6</v>
      </c>
      <c r="Q58" s="6" t="s">
        <v>7</v>
      </c>
    </row>
    <row r="59" spans="1:17" s="2" customFormat="1" ht="15.75" thickBot="1">
      <c r="A59" s="7" t="s">
        <v>397</v>
      </c>
      <c r="B59" s="84" t="s">
        <v>26</v>
      </c>
      <c r="C59" s="76">
        <v>843</v>
      </c>
      <c r="D59" s="76">
        <v>873</v>
      </c>
      <c r="E59" s="76">
        <v>895</v>
      </c>
      <c r="F59" s="9">
        <v>1045</v>
      </c>
      <c r="G59" s="76"/>
      <c r="H59" s="76"/>
      <c r="I59" s="76"/>
      <c r="J59" s="76"/>
      <c r="K59" s="76"/>
      <c r="L59" s="76"/>
      <c r="M59" s="11" t="s">
        <v>4</v>
      </c>
      <c r="N59" s="13" t="s">
        <v>8</v>
      </c>
      <c r="O59" s="14">
        <f>(C58+C62+C64+C68+C67)</f>
        <v>2972</v>
      </c>
      <c r="P59" s="15">
        <f>SUM(O59/O64)</f>
        <v>0.40756993965990124</v>
      </c>
      <c r="Q59" s="5">
        <v>3</v>
      </c>
    </row>
    <row r="60" spans="1:17" s="2" customFormat="1" ht="15.75" thickBot="1">
      <c r="A60" s="17" t="s">
        <v>393</v>
      </c>
      <c r="B60" s="77" t="s">
        <v>26</v>
      </c>
      <c r="C60" s="76">
        <v>598</v>
      </c>
      <c r="D60" s="76">
        <v>613</v>
      </c>
      <c r="E60" s="76">
        <v>624</v>
      </c>
      <c r="F60" s="76">
        <v>632</v>
      </c>
      <c r="G60" s="76">
        <v>636</v>
      </c>
      <c r="H60" s="76">
        <v>636</v>
      </c>
      <c r="I60" s="76">
        <v>637</v>
      </c>
      <c r="J60" s="76">
        <v>643</v>
      </c>
      <c r="K60" s="76">
        <v>656</v>
      </c>
      <c r="L60" s="76">
        <v>804</v>
      </c>
      <c r="M60" s="11"/>
      <c r="N60" s="16" t="s">
        <v>3</v>
      </c>
      <c r="O60" s="14">
        <f>(C66+C69+C71)</f>
        <v>999</v>
      </c>
      <c r="P60" s="15">
        <f>SUM(O60/O64)</f>
        <v>0.13699945145364784</v>
      </c>
      <c r="Q60" s="5"/>
    </row>
    <row r="61" spans="1:17" s="2" customFormat="1" ht="15.75" thickBot="1">
      <c r="A61" s="7" t="s">
        <v>101</v>
      </c>
      <c r="B61" s="42" t="s">
        <v>18</v>
      </c>
      <c r="C61" s="76">
        <v>597</v>
      </c>
      <c r="D61" s="76">
        <v>599</v>
      </c>
      <c r="E61" s="76">
        <v>624</v>
      </c>
      <c r="F61" s="76">
        <v>700</v>
      </c>
      <c r="G61" s="76">
        <v>706</v>
      </c>
      <c r="H61" s="76">
        <v>708</v>
      </c>
      <c r="I61" s="76">
        <v>708</v>
      </c>
      <c r="J61" s="76">
        <v>801</v>
      </c>
      <c r="K61" s="76">
        <v>832</v>
      </c>
      <c r="L61" s="9">
        <v>902</v>
      </c>
      <c r="M61" s="11" t="s">
        <v>14</v>
      </c>
      <c r="N61" s="79" t="s">
        <v>26</v>
      </c>
      <c r="O61" s="14">
        <f>(C59+C60+C72)</f>
        <v>1569</v>
      </c>
      <c r="P61" s="15">
        <f>SUM(O61/O64)</f>
        <v>0.21516730663741085</v>
      </c>
      <c r="Q61" s="5">
        <v>1</v>
      </c>
    </row>
    <row r="62" spans="1:17" s="2" customFormat="1" ht="15.75" thickBot="1">
      <c r="A62" s="7" t="s">
        <v>395</v>
      </c>
      <c r="B62" s="8" t="s">
        <v>8</v>
      </c>
      <c r="C62" s="80">
        <v>534</v>
      </c>
      <c r="D62" s="76">
        <v>535</v>
      </c>
      <c r="E62" s="76">
        <v>546</v>
      </c>
      <c r="F62" s="76">
        <v>555</v>
      </c>
      <c r="G62" s="76">
        <v>576</v>
      </c>
      <c r="H62" s="76">
        <v>576</v>
      </c>
      <c r="I62" s="76">
        <v>589</v>
      </c>
      <c r="J62" s="76">
        <v>869</v>
      </c>
      <c r="K62" s="76">
        <v>878</v>
      </c>
      <c r="L62" s="9">
        <v>998</v>
      </c>
      <c r="M62" s="11" t="s">
        <v>15</v>
      </c>
      <c r="N62" s="93" t="s">
        <v>367</v>
      </c>
      <c r="O62" s="38">
        <f>(C65+C70)</f>
        <v>634</v>
      </c>
      <c r="P62" s="39">
        <f>SUM(O62/O64)</f>
        <v>8.6944596818431155E-2</v>
      </c>
    </row>
    <row r="63" spans="1:17" s="2" customFormat="1" ht="15.75" thickBot="1">
      <c r="A63" s="7" t="s">
        <v>243</v>
      </c>
      <c r="B63" s="42" t="s">
        <v>392</v>
      </c>
      <c r="C63" s="76">
        <v>521</v>
      </c>
      <c r="D63" s="76">
        <v>549</v>
      </c>
      <c r="E63" s="76">
        <v>559</v>
      </c>
      <c r="F63" s="76">
        <v>565</v>
      </c>
      <c r="G63" s="76">
        <v>691</v>
      </c>
      <c r="H63" s="76">
        <v>691</v>
      </c>
      <c r="I63" s="76">
        <v>698</v>
      </c>
      <c r="J63" s="76">
        <v>713</v>
      </c>
      <c r="K63" s="76">
        <v>936</v>
      </c>
      <c r="L63" s="9">
        <v>1050</v>
      </c>
      <c r="M63" s="11" t="s">
        <v>12</v>
      </c>
      <c r="N63" s="26" t="s">
        <v>17</v>
      </c>
      <c r="O63" s="14">
        <f>(C61+C63)</f>
        <v>1118</v>
      </c>
      <c r="P63" s="15">
        <f>SUM(O63/O64)</f>
        <v>0.15331870543060888</v>
      </c>
      <c r="Q63" s="5">
        <v>2</v>
      </c>
    </row>
    <row r="64" spans="1:17" s="2" customFormat="1" ht="15.75" thickBot="1">
      <c r="A64" s="7" t="s">
        <v>325</v>
      </c>
      <c r="B64" s="8" t="s">
        <v>8</v>
      </c>
      <c r="C64" s="76">
        <v>501</v>
      </c>
      <c r="D64" s="76">
        <v>511</v>
      </c>
      <c r="E64" s="76">
        <v>512</v>
      </c>
      <c r="F64" s="76">
        <v>521</v>
      </c>
      <c r="G64" s="76">
        <v>672</v>
      </c>
      <c r="H64" s="76">
        <v>672</v>
      </c>
      <c r="I64" s="76">
        <v>749</v>
      </c>
      <c r="J64" s="76">
        <v>817</v>
      </c>
      <c r="K64" s="76">
        <v>974</v>
      </c>
      <c r="L64" s="9">
        <v>1015</v>
      </c>
      <c r="M64" s="11" t="s">
        <v>10</v>
      </c>
      <c r="O64" s="22">
        <v>7292</v>
      </c>
    </row>
    <row r="65" spans="1:16" s="2" customFormat="1" ht="15.75" thickBot="1">
      <c r="A65" s="17" t="s">
        <v>344</v>
      </c>
      <c r="B65" s="95" t="s">
        <v>367</v>
      </c>
      <c r="C65" s="76">
        <v>497</v>
      </c>
      <c r="D65" s="76">
        <v>497</v>
      </c>
      <c r="E65" s="76">
        <v>577</v>
      </c>
      <c r="F65" s="76">
        <v>608</v>
      </c>
      <c r="G65" s="76">
        <v>609</v>
      </c>
      <c r="H65" s="76">
        <v>609</v>
      </c>
      <c r="I65" s="76">
        <v>609</v>
      </c>
      <c r="J65" s="76">
        <v>643</v>
      </c>
      <c r="K65" s="76">
        <v>650</v>
      </c>
      <c r="L65" s="76" t="s">
        <v>16</v>
      </c>
    </row>
    <row r="66" spans="1:16" s="2" customFormat="1" ht="15.75" thickBot="1">
      <c r="A66" s="17" t="s">
        <v>396</v>
      </c>
      <c r="B66" s="25" t="s">
        <v>3</v>
      </c>
      <c r="C66" s="76">
        <v>496</v>
      </c>
      <c r="D66" s="76">
        <v>502</v>
      </c>
      <c r="E66" s="76">
        <v>514</v>
      </c>
      <c r="F66" s="76">
        <v>557</v>
      </c>
      <c r="G66" s="76">
        <v>582</v>
      </c>
      <c r="H66" s="76">
        <v>582</v>
      </c>
      <c r="I66" s="76">
        <v>585</v>
      </c>
      <c r="J66" s="76">
        <v>593</v>
      </c>
      <c r="K66" s="76" t="s">
        <v>16</v>
      </c>
      <c r="M66" s="19"/>
      <c r="N66" s="14"/>
      <c r="O66" s="15"/>
      <c r="P66" s="5"/>
    </row>
    <row r="67" spans="1:16" s="2" customFormat="1" ht="15.75" thickBot="1">
      <c r="A67" s="17" t="s">
        <v>394</v>
      </c>
      <c r="B67" s="23" t="s">
        <v>8</v>
      </c>
      <c r="C67" s="76">
        <v>479</v>
      </c>
      <c r="D67" s="76">
        <v>479</v>
      </c>
      <c r="E67" s="76">
        <v>504</v>
      </c>
      <c r="F67" s="76">
        <v>542</v>
      </c>
      <c r="G67" s="76">
        <v>548</v>
      </c>
      <c r="H67" s="76">
        <v>549</v>
      </c>
      <c r="I67" s="76">
        <v>552</v>
      </c>
      <c r="J67" s="76" t="s">
        <v>16</v>
      </c>
      <c r="M67" s="15"/>
      <c r="N67" s="5"/>
    </row>
    <row r="68" spans="1:16" s="2" customFormat="1" ht="15.75" thickBot="1">
      <c r="A68" s="17" t="s">
        <v>342</v>
      </c>
      <c r="B68" s="23" t="s">
        <v>8</v>
      </c>
      <c r="C68" s="76">
        <v>465</v>
      </c>
      <c r="D68" s="76">
        <v>482</v>
      </c>
      <c r="E68" s="76">
        <v>486</v>
      </c>
      <c r="F68" s="76">
        <v>487</v>
      </c>
      <c r="G68" s="76" t="s">
        <v>16</v>
      </c>
      <c r="L68" s="22"/>
    </row>
    <row r="69" spans="1:16" s="2" customFormat="1" ht="15.75" thickBot="1">
      <c r="A69" s="17" t="s">
        <v>343</v>
      </c>
      <c r="B69" s="25" t="s">
        <v>3</v>
      </c>
      <c r="C69" s="76">
        <v>368</v>
      </c>
      <c r="D69" s="76">
        <v>368</v>
      </c>
      <c r="E69" s="76">
        <v>399</v>
      </c>
      <c r="F69" s="76" t="s">
        <v>16</v>
      </c>
      <c r="L69" s="22"/>
    </row>
    <row r="70" spans="1:16" s="2" customFormat="1" ht="15.75" thickBot="1">
      <c r="A70" s="17" t="s">
        <v>400</v>
      </c>
      <c r="B70" s="95" t="s">
        <v>367</v>
      </c>
      <c r="C70" s="76">
        <v>137</v>
      </c>
      <c r="D70" s="76">
        <v>138</v>
      </c>
      <c r="E70" s="76" t="s">
        <v>16</v>
      </c>
      <c r="L70" s="22"/>
    </row>
    <row r="71" spans="1:16" s="2" customFormat="1" ht="15.75" thickBot="1">
      <c r="A71" s="17" t="s">
        <v>399</v>
      </c>
      <c r="B71" s="25" t="s">
        <v>3</v>
      </c>
      <c r="C71" s="76">
        <v>135</v>
      </c>
      <c r="D71" s="76">
        <v>135</v>
      </c>
      <c r="E71" s="76" t="s">
        <v>16</v>
      </c>
      <c r="M71" s="22"/>
    </row>
    <row r="72" spans="1:16" s="2" customFormat="1" ht="15.75" thickBot="1">
      <c r="A72" s="17" t="s">
        <v>398</v>
      </c>
      <c r="B72" s="77" t="s">
        <v>26</v>
      </c>
      <c r="C72" s="76">
        <v>128</v>
      </c>
      <c r="D72" s="76" t="s">
        <v>16</v>
      </c>
      <c r="M72" s="22"/>
    </row>
    <row r="73" spans="1:16" s="2" customFormat="1" ht="15">
      <c r="A73" s="40"/>
      <c r="C73" s="38"/>
      <c r="D73" s="38"/>
    </row>
    <row r="74" spans="1:16">
      <c r="A74" s="27"/>
      <c r="B74" s="27" t="s">
        <v>19</v>
      </c>
      <c r="C74" s="28" t="s">
        <v>8</v>
      </c>
      <c r="D74" s="29" t="s">
        <v>3</v>
      </c>
      <c r="E74" s="83" t="s">
        <v>26</v>
      </c>
      <c r="F74" s="73" t="s">
        <v>367</v>
      </c>
      <c r="G74" s="27" t="s">
        <v>17</v>
      </c>
    </row>
    <row r="75" spans="1:16" ht="14.25">
      <c r="A75" s="32" t="s">
        <v>5</v>
      </c>
      <c r="B75" s="33">
        <f>SUM(O64+O46+P27+N10)</f>
        <v>29294</v>
      </c>
      <c r="C75" s="34">
        <f>SUM(O59+O41+P22+N5)</f>
        <v>11503</v>
      </c>
      <c r="D75" s="34">
        <f>SUM(O60+O42+P23+N6)</f>
        <v>5516</v>
      </c>
      <c r="E75" s="34">
        <f>SUM(O61+P24+O43+N7)</f>
        <v>5238</v>
      </c>
      <c r="F75" s="34">
        <f>(O62+O44+N8+P25)</f>
        <v>2194</v>
      </c>
      <c r="G75" s="34">
        <f>SUM(O45+P26+O63+N9)</f>
        <v>4843</v>
      </c>
    </row>
    <row r="76" spans="1:16" ht="14.25">
      <c r="A76" s="32" t="s">
        <v>6</v>
      </c>
      <c r="B76" s="35">
        <v>1</v>
      </c>
      <c r="C76" s="36">
        <f>SUM(C75/$B$75)</f>
        <v>0.39267426776814363</v>
      </c>
      <c r="D76" s="36">
        <f>SUM(D75/$B$75)</f>
        <v>0.18829794497166655</v>
      </c>
      <c r="E76" s="36">
        <f>SUM(E75/$B$75)</f>
        <v>0.17880794701986755</v>
      </c>
      <c r="F76" s="36">
        <f>SUM(F75/$B$75)</f>
        <v>7.4895883115996445E-2</v>
      </c>
      <c r="G76" s="36">
        <f>SUM(G75/$B$75)</f>
        <v>0.16532395712432579</v>
      </c>
    </row>
    <row r="77" spans="1:16" ht="14.25">
      <c r="A77" s="32" t="s">
        <v>7</v>
      </c>
      <c r="B77" s="27">
        <v>25</v>
      </c>
      <c r="C77">
        <v>13</v>
      </c>
      <c r="D77">
        <v>5</v>
      </c>
      <c r="E77">
        <v>2</v>
      </c>
      <c r="F77">
        <v>1</v>
      </c>
      <c r="G77">
        <v>4</v>
      </c>
    </row>
  </sheetData>
  <sortState ref="A58:C72">
    <sortCondition descending="1" ref="C58:C72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S73"/>
  <sheetViews>
    <sheetView workbookViewId="0">
      <selection activeCell="P1" sqref="P1"/>
    </sheetView>
  </sheetViews>
  <sheetFormatPr defaultRowHeight="12.75"/>
  <cols>
    <col min="1" max="1" width="20.28515625" customWidth="1"/>
    <col min="6" max="6" width="9" customWidth="1"/>
    <col min="13" max="13" width="9.42578125" bestFit="1" customWidth="1"/>
  </cols>
  <sheetData>
    <row r="1" spans="1:14" s="2" customFormat="1" ht="14.25">
      <c r="A1" s="1" t="s">
        <v>355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(6517/8436)</f>
        <v>0.77252252252252251</v>
      </c>
    </row>
    <row r="4" spans="1:14" s="2" customFormat="1" ht="15.75" thickBot="1">
      <c r="A4" s="7" t="s">
        <v>32</v>
      </c>
      <c r="B4" s="20" t="s">
        <v>3</v>
      </c>
      <c r="C4" s="76">
        <v>910</v>
      </c>
      <c r="D4" s="76">
        <v>941</v>
      </c>
      <c r="E4" s="76">
        <v>1012</v>
      </c>
      <c r="F4" s="9">
        <v>1215</v>
      </c>
      <c r="G4" s="76"/>
      <c r="H4" s="76"/>
      <c r="I4" s="76"/>
      <c r="J4" s="75" t="s">
        <v>4</v>
      </c>
      <c r="K4" s="5"/>
      <c r="L4" s="6" t="s">
        <v>5</v>
      </c>
      <c r="M4" s="6" t="s">
        <v>6</v>
      </c>
      <c r="N4" s="6" t="s">
        <v>7</v>
      </c>
    </row>
    <row r="5" spans="1:14" s="2" customFormat="1" ht="15.75" thickBot="1">
      <c r="A5" s="7" t="s">
        <v>106</v>
      </c>
      <c r="B5" s="8" t="s">
        <v>8</v>
      </c>
      <c r="C5" s="76">
        <v>873</v>
      </c>
      <c r="D5" s="76">
        <v>893</v>
      </c>
      <c r="E5" s="76">
        <v>930</v>
      </c>
      <c r="F5" s="76">
        <v>1007</v>
      </c>
      <c r="G5" s="76">
        <v>1018</v>
      </c>
      <c r="H5" s="9">
        <v>1110</v>
      </c>
      <c r="I5" s="76"/>
      <c r="J5" s="75" t="s">
        <v>9</v>
      </c>
      <c r="K5" s="13" t="s">
        <v>8</v>
      </c>
      <c r="L5" s="14">
        <f>(C5+C6+C8+C10+C12)</f>
        <v>3074</v>
      </c>
      <c r="M5" s="15">
        <f>SUM(L5/L9)</f>
        <v>0.47777432390425861</v>
      </c>
      <c r="N5" s="5">
        <v>3</v>
      </c>
    </row>
    <row r="6" spans="1:14" s="2" customFormat="1" ht="15.75" thickBot="1">
      <c r="A6" s="7" t="s">
        <v>359</v>
      </c>
      <c r="B6" s="8" t="s">
        <v>8</v>
      </c>
      <c r="C6" s="76">
        <v>720</v>
      </c>
      <c r="D6" s="76">
        <v>725</v>
      </c>
      <c r="E6" s="76">
        <v>745</v>
      </c>
      <c r="F6" s="76">
        <v>773</v>
      </c>
      <c r="G6" s="76">
        <v>804</v>
      </c>
      <c r="H6" s="76">
        <v>847</v>
      </c>
      <c r="I6" s="9">
        <v>933</v>
      </c>
      <c r="J6" s="75" t="s">
        <v>10</v>
      </c>
      <c r="K6" s="16" t="s">
        <v>3</v>
      </c>
      <c r="L6" s="14">
        <f>(C4+C11+C15)</f>
        <v>1512</v>
      </c>
      <c r="M6" s="15">
        <f>SUM(L6/L9)</f>
        <v>0.23500155424308361</v>
      </c>
      <c r="N6" s="5">
        <v>1</v>
      </c>
    </row>
    <row r="7" spans="1:14" s="2" customFormat="1" ht="15.75" thickBot="1">
      <c r="A7" s="17" t="s">
        <v>360</v>
      </c>
      <c r="B7" s="41" t="s">
        <v>18</v>
      </c>
      <c r="C7" s="76">
        <v>698</v>
      </c>
      <c r="D7" s="76">
        <v>702</v>
      </c>
      <c r="E7" s="76">
        <v>703</v>
      </c>
      <c r="F7" s="76">
        <v>736</v>
      </c>
      <c r="G7" s="76">
        <v>747</v>
      </c>
      <c r="H7" s="76">
        <v>762</v>
      </c>
      <c r="I7" s="76">
        <v>772</v>
      </c>
      <c r="J7" s="75"/>
      <c r="K7" s="79" t="s">
        <v>26</v>
      </c>
      <c r="L7" s="14">
        <f>(C9+C13)</f>
        <v>912</v>
      </c>
      <c r="M7" s="15">
        <f>SUM(L7/L9)</f>
        <v>0.14174696922598695</v>
      </c>
      <c r="N7" s="5">
        <v>1</v>
      </c>
    </row>
    <row r="8" spans="1:14" s="2" customFormat="1" ht="15.75" thickBot="1">
      <c r="A8" s="7" t="s">
        <v>291</v>
      </c>
      <c r="B8" s="8" t="s">
        <v>8</v>
      </c>
      <c r="C8" s="76">
        <v>563</v>
      </c>
      <c r="D8" s="76">
        <v>688</v>
      </c>
      <c r="E8" s="76">
        <v>821</v>
      </c>
      <c r="F8" s="76">
        <v>827</v>
      </c>
      <c r="G8" s="76">
        <v>829</v>
      </c>
      <c r="H8" s="76">
        <v>1001</v>
      </c>
      <c r="I8" s="9">
        <v>1158</v>
      </c>
      <c r="J8" s="75" t="s">
        <v>12</v>
      </c>
      <c r="K8" s="26" t="s">
        <v>17</v>
      </c>
      <c r="L8" s="38">
        <f>(C7+C14)</f>
        <v>936</v>
      </c>
      <c r="M8" s="39">
        <f>SUM(L8/L9)</f>
        <v>0.14547715262667082</v>
      </c>
    </row>
    <row r="9" spans="1:14" s="2" customFormat="1" ht="15.75" thickBot="1">
      <c r="A9" s="7" t="s">
        <v>358</v>
      </c>
      <c r="B9" s="84" t="s">
        <v>26</v>
      </c>
      <c r="C9" s="76">
        <v>557</v>
      </c>
      <c r="D9" s="76">
        <v>564</v>
      </c>
      <c r="E9" s="76">
        <v>573</v>
      </c>
      <c r="F9" s="76">
        <v>680</v>
      </c>
      <c r="G9" s="76">
        <v>752</v>
      </c>
      <c r="H9" s="76">
        <v>861</v>
      </c>
      <c r="I9" s="9">
        <v>901</v>
      </c>
      <c r="J9" s="75" t="s">
        <v>15</v>
      </c>
      <c r="L9" s="22">
        <v>6434</v>
      </c>
    </row>
    <row r="10" spans="1:14" s="2" customFormat="1" ht="15.75" thickBot="1">
      <c r="A10" s="17" t="s">
        <v>298</v>
      </c>
      <c r="B10" s="23" t="s">
        <v>8</v>
      </c>
      <c r="C10" s="76">
        <v>520</v>
      </c>
      <c r="D10" s="76">
        <v>523</v>
      </c>
      <c r="E10" s="76">
        <v>558</v>
      </c>
      <c r="F10" s="76">
        <v>571</v>
      </c>
      <c r="G10" s="76">
        <v>575</v>
      </c>
      <c r="H10" s="76">
        <v>596</v>
      </c>
      <c r="I10" s="76" t="s">
        <v>16</v>
      </c>
    </row>
    <row r="11" spans="1:14" s="2" customFormat="1" ht="15.75" thickBot="1">
      <c r="A11" s="17" t="s">
        <v>83</v>
      </c>
      <c r="B11" s="25" t="s">
        <v>3</v>
      </c>
      <c r="C11" s="76">
        <v>493</v>
      </c>
      <c r="D11" s="76">
        <v>498</v>
      </c>
      <c r="E11" s="76">
        <v>509</v>
      </c>
      <c r="F11" s="76" t="s">
        <v>16</v>
      </c>
      <c r="I11" s="38"/>
      <c r="J11" s="38"/>
      <c r="K11" s="39"/>
    </row>
    <row r="12" spans="1:14" s="2" customFormat="1" ht="15.75" thickBot="1">
      <c r="A12" s="17" t="s">
        <v>356</v>
      </c>
      <c r="B12" s="23" t="s">
        <v>8</v>
      </c>
      <c r="C12" s="76">
        <v>398</v>
      </c>
      <c r="D12" s="76">
        <v>431</v>
      </c>
      <c r="E12" s="76" t="s">
        <v>16</v>
      </c>
      <c r="H12" s="38"/>
      <c r="I12" s="38"/>
      <c r="J12" s="22"/>
    </row>
    <row r="13" spans="1:14" s="2" customFormat="1" ht="15.75" thickBot="1">
      <c r="A13" s="17" t="s">
        <v>297</v>
      </c>
      <c r="B13" s="77" t="s">
        <v>26</v>
      </c>
      <c r="C13" s="76">
        <v>355</v>
      </c>
      <c r="D13" s="76">
        <v>450</v>
      </c>
      <c r="E13" s="76">
        <v>543</v>
      </c>
      <c r="F13" s="76">
        <v>560</v>
      </c>
      <c r="G13" s="76">
        <v>568</v>
      </c>
      <c r="H13" s="76" t="s">
        <v>16</v>
      </c>
      <c r="I13" s="38"/>
    </row>
    <row r="14" spans="1:14" s="2" customFormat="1" ht="15.75" thickBot="1">
      <c r="A14" s="17" t="s">
        <v>296</v>
      </c>
      <c r="B14" s="41" t="s">
        <v>18</v>
      </c>
      <c r="C14" s="76">
        <v>238</v>
      </c>
      <c r="D14" s="76" t="s">
        <v>16</v>
      </c>
      <c r="F14" s="38"/>
      <c r="G14" s="38"/>
      <c r="H14" s="38"/>
      <c r="I14" s="38"/>
      <c r="J14" s="22"/>
    </row>
    <row r="15" spans="1:14" s="2" customFormat="1" ht="15.75" thickBot="1">
      <c r="A15" s="17" t="s">
        <v>357</v>
      </c>
      <c r="B15" s="25" t="s">
        <v>3</v>
      </c>
      <c r="C15" s="76">
        <v>109</v>
      </c>
      <c r="D15" s="76" t="s">
        <v>16</v>
      </c>
      <c r="E15" s="38"/>
      <c r="F15" s="38"/>
      <c r="G15" s="38"/>
      <c r="H15" s="38"/>
      <c r="I15" s="38"/>
    </row>
    <row r="16" spans="1:14" s="2" customFormat="1" ht="14.25">
      <c r="C16" s="38"/>
    </row>
    <row r="17" spans="1:17" s="2" customFormat="1" ht="14.25">
      <c r="A17" s="1" t="s">
        <v>347</v>
      </c>
    </row>
    <row r="18" spans="1:17" s="2" customFormat="1" ht="9.75" customHeight="1" thickBot="1">
      <c r="A18" s="1"/>
    </row>
    <row r="19" spans="1:17" s="2" customFormat="1" ht="15.75" thickBot="1">
      <c r="A19" s="3" t="s">
        <v>0</v>
      </c>
      <c r="B19" s="4" t="s">
        <v>1</v>
      </c>
      <c r="C19" s="4" t="s">
        <v>2</v>
      </c>
      <c r="D19" s="4">
        <v>2</v>
      </c>
      <c r="E19" s="4">
        <v>3</v>
      </c>
      <c r="F19" s="4">
        <v>4</v>
      </c>
      <c r="G19" s="4">
        <v>5</v>
      </c>
      <c r="H19" s="4">
        <v>6</v>
      </c>
      <c r="I19" s="4">
        <v>7</v>
      </c>
      <c r="J19" s="4">
        <v>8</v>
      </c>
      <c r="K19" s="4">
        <v>9</v>
      </c>
      <c r="L19" s="4">
        <v>10</v>
      </c>
      <c r="M19" s="4"/>
      <c r="N19" s="6" t="s">
        <v>289</v>
      </c>
      <c r="O19" s="39">
        <f>(8328/11461)</f>
        <v>0.7266381642090568</v>
      </c>
    </row>
    <row r="20" spans="1:17" s="2" customFormat="1" ht="15.75" thickBot="1">
      <c r="A20" s="7" t="s">
        <v>301</v>
      </c>
      <c r="B20" s="84" t="s">
        <v>26</v>
      </c>
      <c r="C20" s="9">
        <v>1438</v>
      </c>
      <c r="D20" s="76"/>
      <c r="E20" s="76"/>
      <c r="F20" s="76"/>
      <c r="G20" s="76"/>
      <c r="H20" s="76"/>
      <c r="I20" s="76"/>
      <c r="J20" s="76"/>
      <c r="K20" s="76"/>
      <c r="L20" s="76"/>
      <c r="M20" s="75" t="s">
        <v>4</v>
      </c>
      <c r="N20" s="5"/>
      <c r="O20" s="6" t="s">
        <v>5</v>
      </c>
      <c r="P20" s="6" t="s">
        <v>6</v>
      </c>
      <c r="Q20" s="6" t="s">
        <v>7</v>
      </c>
    </row>
    <row r="21" spans="1:17" s="2" customFormat="1" ht="15.75" thickBot="1">
      <c r="A21" s="7" t="s">
        <v>55</v>
      </c>
      <c r="B21" s="8" t="s">
        <v>8</v>
      </c>
      <c r="C21" s="76">
        <v>821</v>
      </c>
      <c r="D21" s="76">
        <v>899</v>
      </c>
      <c r="E21" s="76">
        <v>891</v>
      </c>
      <c r="F21" s="76">
        <v>899</v>
      </c>
      <c r="G21" s="76">
        <v>906</v>
      </c>
      <c r="H21" s="76">
        <v>914</v>
      </c>
      <c r="I21" s="9">
        <v>1154</v>
      </c>
      <c r="J21" s="76"/>
      <c r="K21" s="76"/>
      <c r="L21" s="76"/>
      <c r="M21" s="75" t="s">
        <v>12</v>
      </c>
      <c r="N21" s="13" t="s">
        <v>8</v>
      </c>
      <c r="O21" s="14">
        <f>(C21+C26+C28+C27+C31)</f>
        <v>2860</v>
      </c>
      <c r="P21" s="15">
        <f>SUM(O21/O25)</f>
        <v>0.34750911300121506</v>
      </c>
      <c r="Q21" s="5">
        <v>2</v>
      </c>
    </row>
    <row r="22" spans="1:17" s="2" customFormat="1" ht="15.75" thickBot="1">
      <c r="A22" s="7" t="s">
        <v>348</v>
      </c>
      <c r="B22" s="20" t="s">
        <v>3</v>
      </c>
      <c r="C22" s="76">
        <v>781</v>
      </c>
      <c r="D22" s="76">
        <v>846</v>
      </c>
      <c r="E22" s="76">
        <v>862</v>
      </c>
      <c r="F22" s="76">
        <v>869</v>
      </c>
      <c r="G22" s="76">
        <v>876</v>
      </c>
      <c r="H22" s="76">
        <v>883</v>
      </c>
      <c r="I22" s="76">
        <v>902</v>
      </c>
      <c r="J22" s="76">
        <v>905</v>
      </c>
      <c r="K22" s="76">
        <v>945</v>
      </c>
      <c r="L22" s="9">
        <v>958</v>
      </c>
      <c r="M22" s="75" t="s">
        <v>14</v>
      </c>
      <c r="N22" s="16" t="s">
        <v>3</v>
      </c>
      <c r="O22" s="14">
        <f>(C22+C24+C25+C32)</f>
        <v>2407</v>
      </c>
      <c r="P22" s="15">
        <f>SUM(O22/O25)</f>
        <v>0.2924665856622114</v>
      </c>
      <c r="Q22" s="5">
        <v>3</v>
      </c>
    </row>
    <row r="23" spans="1:17" s="2" customFormat="1" ht="15.75" thickBot="1">
      <c r="A23" s="7" t="s">
        <v>300</v>
      </c>
      <c r="B23" s="42" t="s">
        <v>18</v>
      </c>
      <c r="C23" s="76">
        <v>741</v>
      </c>
      <c r="D23" s="76">
        <v>756</v>
      </c>
      <c r="E23" s="76">
        <v>763</v>
      </c>
      <c r="F23" s="76">
        <v>772</v>
      </c>
      <c r="G23" s="9">
        <v>1142</v>
      </c>
      <c r="H23" s="76"/>
      <c r="I23" s="76"/>
      <c r="J23" s="76"/>
      <c r="K23" s="76"/>
      <c r="L23" s="76"/>
      <c r="M23" s="75" t="s">
        <v>9</v>
      </c>
      <c r="N23" s="79" t="s">
        <v>26</v>
      </c>
      <c r="O23" s="14">
        <f>(C20+C30)</f>
        <v>1806</v>
      </c>
      <c r="P23" s="15">
        <f>SUM(O23/O25)</f>
        <v>0.21944106925880924</v>
      </c>
      <c r="Q23" s="5">
        <v>1</v>
      </c>
    </row>
    <row r="24" spans="1:17" s="2" customFormat="1" ht="15.75" thickBot="1">
      <c r="A24" s="7" t="s">
        <v>352</v>
      </c>
      <c r="B24" s="20" t="s">
        <v>3</v>
      </c>
      <c r="C24" s="76">
        <v>735</v>
      </c>
      <c r="D24" s="76">
        <v>772</v>
      </c>
      <c r="E24" s="76">
        <v>840</v>
      </c>
      <c r="F24" s="76">
        <v>850</v>
      </c>
      <c r="G24" s="76">
        <v>879</v>
      </c>
      <c r="H24" s="76">
        <v>924</v>
      </c>
      <c r="I24" s="76">
        <v>932</v>
      </c>
      <c r="J24" s="76">
        <v>934</v>
      </c>
      <c r="K24" s="76">
        <v>985</v>
      </c>
      <c r="L24" s="9">
        <v>1003</v>
      </c>
      <c r="M24" s="75" t="s">
        <v>15</v>
      </c>
      <c r="N24" s="26" t="s">
        <v>17</v>
      </c>
      <c r="O24" s="14">
        <f>(C23+C29)</f>
        <v>1157</v>
      </c>
      <c r="P24" s="15">
        <f>SUM(O24/O25)</f>
        <v>0.14058323207776427</v>
      </c>
      <c r="Q24" s="5">
        <v>1</v>
      </c>
    </row>
    <row r="25" spans="1:17" s="2" customFormat="1" ht="15.75" thickBot="1">
      <c r="A25" s="7" t="s">
        <v>302</v>
      </c>
      <c r="B25" s="20" t="s">
        <v>3</v>
      </c>
      <c r="C25" s="76">
        <v>614</v>
      </c>
      <c r="D25" s="76">
        <v>626</v>
      </c>
      <c r="E25" s="76">
        <v>637</v>
      </c>
      <c r="F25" s="76">
        <v>638</v>
      </c>
      <c r="G25" s="76">
        <v>640</v>
      </c>
      <c r="H25" s="76">
        <v>646</v>
      </c>
      <c r="I25" s="76">
        <v>776</v>
      </c>
      <c r="J25" s="76">
        <v>795</v>
      </c>
      <c r="K25" s="76">
        <v>837</v>
      </c>
      <c r="L25" s="9">
        <v>878</v>
      </c>
      <c r="M25" s="75" t="s">
        <v>57</v>
      </c>
      <c r="O25" s="22">
        <v>8230</v>
      </c>
    </row>
    <row r="26" spans="1:17" s="2" customFormat="1" ht="15.75" thickBot="1">
      <c r="A26" s="17" t="s">
        <v>350</v>
      </c>
      <c r="B26" s="23" t="s">
        <v>8</v>
      </c>
      <c r="C26" s="76">
        <v>581</v>
      </c>
      <c r="D26" s="76">
        <v>589</v>
      </c>
      <c r="E26" s="76">
        <v>591</v>
      </c>
      <c r="F26" s="76">
        <v>600</v>
      </c>
      <c r="G26" s="76">
        <v>600</v>
      </c>
      <c r="H26" s="76">
        <v>601</v>
      </c>
      <c r="I26" s="76" t="s">
        <v>16</v>
      </c>
    </row>
    <row r="27" spans="1:17" s="2" customFormat="1" ht="15.75" thickBot="1">
      <c r="A27" s="17" t="s">
        <v>353</v>
      </c>
      <c r="B27" s="23" t="s">
        <v>8</v>
      </c>
      <c r="C27" s="76">
        <v>561</v>
      </c>
      <c r="D27" s="76">
        <v>604</v>
      </c>
      <c r="E27" s="76">
        <v>605</v>
      </c>
      <c r="F27" s="76">
        <v>621</v>
      </c>
      <c r="G27" s="76">
        <v>621</v>
      </c>
      <c r="H27" s="76">
        <v>623</v>
      </c>
      <c r="I27" s="76">
        <v>666</v>
      </c>
      <c r="J27" s="76">
        <v>714</v>
      </c>
      <c r="K27" s="76" t="s">
        <v>16</v>
      </c>
    </row>
    <row r="28" spans="1:17" s="2" customFormat="1" ht="15.75" thickBot="1">
      <c r="A28" s="7" t="s">
        <v>98</v>
      </c>
      <c r="B28" s="8" t="s">
        <v>8</v>
      </c>
      <c r="C28" s="76">
        <v>555</v>
      </c>
      <c r="D28" s="76">
        <v>569</v>
      </c>
      <c r="E28" s="76">
        <v>584</v>
      </c>
      <c r="F28" s="76">
        <v>751</v>
      </c>
      <c r="G28" s="76">
        <v>762</v>
      </c>
      <c r="H28" s="76">
        <v>786</v>
      </c>
      <c r="I28" s="76">
        <v>903</v>
      </c>
      <c r="J28" s="76">
        <v>954</v>
      </c>
      <c r="K28" s="9">
        <v>1325</v>
      </c>
      <c r="L28" s="76"/>
      <c r="M28" s="9" t="s">
        <v>10</v>
      </c>
    </row>
    <row r="29" spans="1:17" s="2" customFormat="1" ht="15.75" thickBot="1">
      <c r="A29" s="17" t="s">
        <v>354</v>
      </c>
      <c r="B29" s="41" t="s">
        <v>18</v>
      </c>
      <c r="C29" s="76">
        <v>416</v>
      </c>
      <c r="D29" s="76">
        <v>420</v>
      </c>
      <c r="E29" s="76">
        <v>462</v>
      </c>
      <c r="F29" s="76">
        <v>478</v>
      </c>
      <c r="G29" s="76" t="s">
        <v>16</v>
      </c>
    </row>
    <row r="30" spans="1:17" s="2" customFormat="1" ht="15.75" thickBot="1">
      <c r="A30" s="17" t="s">
        <v>306</v>
      </c>
      <c r="B30" s="77" t="s">
        <v>26</v>
      </c>
      <c r="C30" s="76">
        <v>368</v>
      </c>
      <c r="D30" s="76">
        <v>500</v>
      </c>
      <c r="E30" s="76">
        <v>577</v>
      </c>
      <c r="F30" s="76">
        <v>678</v>
      </c>
      <c r="G30" s="76">
        <v>707</v>
      </c>
      <c r="H30" s="76">
        <v>727</v>
      </c>
      <c r="I30" s="76">
        <v>737</v>
      </c>
      <c r="J30" s="76">
        <v>739</v>
      </c>
      <c r="K30" s="76">
        <v>769</v>
      </c>
      <c r="L30" s="76">
        <v>791</v>
      </c>
      <c r="M30" s="75"/>
    </row>
    <row r="31" spans="1:17" s="2" customFormat="1" ht="15.75" thickBot="1">
      <c r="A31" s="17" t="s">
        <v>351</v>
      </c>
      <c r="B31" s="23" t="s">
        <v>8</v>
      </c>
      <c r="C31" s="76">
        <v>342</v>
      </c>
      <c r="D31" s="76">
        <v>351</v>
      </c>
      <c r="E31" s="76">
        <v>378</v>
      </c>
      <c r="F31" s="76" t="s">
        <v>16</v>
      </c>
      <c r="H31" s="38"/>
      <c r="I31" s="38"/>
      <c r="J31" s="38"/>
      <c r="K31" s="38"/>
      <c r="L31" s="38"/>
      <c r="M31" s="38"/>
    </row>
    <row r="32" spans="1:17" s="2" customFormat="1" ht="15.75" thickBot="1">
      <c r="A32" s="17" t="s">
        <v>349</v>
      </c>
      <c r="B32" s="25" t="s">
        <v>3</v>
      </c>
      <c r="C32" s="76">
        <v>277</v>
      </c>
      <c r="D32" s="76">
        <v>279</v>
      </c>
      <c r="E32" s="76" t="s">
        <v>16</v>
      </c>
      <c r="H32" s="38"/>
      <c r="I32" s="38"/>
      <c r="J32" s="38"/>
      <c r="K32" s="38"/>
      <c r="L32" s="38"/>
      <c r="M32" s="38"/>
    </row>
    <row r="33" spans="1:19" s="2" customFormat="1" ht="14.25">
      <c r="C33" s="38"/>
    </row>
    <row r="34" spans="1:19" s="2" customFormat="1" ht="14.25">
      <c r="A34" s="1" t="s">
        <v>330</v>
      </c>
    </row>
    <row r="35" spans="1:19" s="2" customFormat="1" ht="9" customHeight="1" thickBot="1">
      <c r="A35" s="1"/>
    </row>
    <row r="36" spans="1:19" s="2" customFormat="1" ht="15.75" thickBot="1">
      <c r="A36" s="3" t="s">
        <v>0</v>
      </c>
      <c r="B36" s="4" t="s">
        <v>1</v>
      </c>
      <c r="C36" s="4" t="s">
        <v>2</v>
      </c>
      <c r="D36" s="4">
        <v>2</v>
      </c>
      <c r="E36" s="4">
        <v>3</v>
      </c>
      <c r="F36" s="4">
        <v>4</v>
      </c>
      <c r="G36" s="4">
        <v>5</v>
      </c>
      <c r="H36" s="4">
        <v>6</v>
      </c>
      <c r="I36" s="4">
        <v>7</v>
      </c>
      <c r="J36" s="4">
        <v>8</v>
      </c>
      <c r="K36" s="4">
        <v>9</v>
      </c>
      <c r="L36" s="4">
        <v>10</v>
      </c>
      <c r="M36" s="4">
        <v>11</v>
      </c>
      <c r="N36" s="4">
        <v>12</v>
      </c>
      <c r="O36" s="4"/>
      <c r="P36" s="6" t="s">
        <v>289</v>
      </c>
      <c r="Q36" s="39">
        <f>(8249/10832)</f>
        <v>0.76153988183161003</v>
      </c>
    </row>
    <row r="37" spans="1:19" s="2" customFormat="1" ht="15.75" thickBot="1">
      <c r="A37" s="7" t="s">
        <v>308</v>
      </c>
      <c r="B37" s="20" t="s">
        <v>3</v>
      </c>
      <c r="C37" s="9">
        <v>1026</v>
      </c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5" t="s">
        <v>4</v>
      </c>
      <c r="P37" s="5"/>
      <c r="Q37" s="6" t="s">
        <v>5</v>
      </c>
      <c r="R37" s="6" t="s">
        <v>6</v>
      </c>
      <c r="S37" s="6" t="s">
        <v>7</v>
      </c>
    </row>
    <row r="38" spans="1:19" s="2" customFormat="1" ht="15.75" thickBot="1">
      <c r="A38" s="7" t="s">
        <v>62</v>
      </c>
      <c r="B38" s="8" t="s">
        <v>8</v>
      </c>
      <c r="C38" s="76">
        <v>895</v>
      </c>
      <c r="D38" s="76">
        <v>920</v>
      </c>
      <c r="E38" s="76">
        <v>947</v>
      </c>
      <c r="F38" s="76">
        <v>973</v>
      </c>
      <c r="G38" s="76">
        <v>974</v>
      </c>
      <c r="H38" s="76">
        <v>1004</v>
      </c>
      <c r="I38" s="9">
        <v>1040</v>
      </c>
      <c r="J38" s="76"/>
      <c r="K38" s="76"/>
      <c r="L38" s="76"/>
      <c r="M38" s="76"/>
      <c r="N38" s="76"/>
      <c r="O38" s="75" t="s">
        <v>12</v>
      </c>
      <c r="P38" s="13" t="s">
        <v>8</v>
      </c>
      <c r="Q38" s="14">
        <f>(C38+C40+C43+C45+C46)</f>
        <v>3267</v>
      </c>
      <c r="R38" s="15">
        <f>SUM(Q38/Q42)</f>
        <v>0.40209230769230769</v>
      </c>
      <c r="S38" s="5">
        <v>3</v>
      </c>
    </row>
    <row r="39" spans="1:19" s="2" customFormat="1" ht="15.75" thickBot="1">
      <c r="A39" s="7" t="s">
        <v>331</v>
      </c>
      <c r="B39" s="42" t="s">
        <v>18</v>
      </c>
      <c r="C39" s="76">
        <v>865</v>
      </c>
      <c r="D39" s="76">
        <v>865</v>
      </c>
      <c r="E39" s="76">
        <v>872</v>
      </c>
      <c r="F39" s="76">
        <v>881</v>
      </c>
      <c r="G39" s="76">
        <v>881</v>
      </c>
      <c r="H39" s="76">
        <v>881</v>
      </c>
      <c r="I39" s="76">
        <v>882</v>
      </c>
      <c r="J39" s="9">
        <v>1314</v>
      </c>
      <c r="K39" s="76"/>
      <c r="L39" s="76"/>
      <c r="M39" s="76"/>
      <c r="N39" s="76"/>
      <c r="O39" s="75" t="s">
        <v>10</v>
      </c>
      <c r="P39" s="16" t="s">
        <v>3</v>
      </c>
      <c r="Q39" s="14">
        <f>(C37+C41+C48+C50)</f>
        <v>2195</v>
      </c>
      <c r="R39" s="15">
        <f>SUM(Q39/Q42)</f>
        <v>0.27015384615384613</v>
      </c>
      <c r="S39" s="5">
        <v>2</v>
      </c>
    </row>
    <row r="40" spans="1:19" s="2" customFormat="1" ht="15.75" thickBot="1">
      <c r="A40" s="7" t="s">
        <v>66</v>
      </c>
      <c r="B40" s="8" t="s">
        <v>8</v>
      </c>
      <c r="C40" s="76">
        <v>854</v>
      </c>
      <c r="D40" s="76">
        <v>869</v>
      </c>
      <c r="E40" s="76">
        <v>878</v>
      </c>
      <c r="F40" s="9">
        <v>1081</v>
      </c>
      <c r="G40" s="76"/>
      <c r="H40" s="76"/>
      <c r="I40" s="76"/>
      <c r="J40" s="76"/>
      <c r="K40" s="76"/>
      <c r="L40" s="76"/>
      <c r="M40" s="76"/>
      <c r="N40" s="76"/>
      <c r="O40" s="75" t="s">
        <v>9</v>
      </c>
      <c r="P40" s="79" t="s">
        <v>26</v>
      </c>
      <c r="Q40" s="14">
        <v>542</v>
      </c>
      <c r="R40" s="15">
        <f>SUM(Q40/Q42)</f>
        <v>6.6707692307692301E-2</v>
      </c>
      <c r="S40" s="5"/>
    </row>
    <row r="41" spans="1:19" s="2" customFormat="1" ht="15.75" thickBot="1">
      <c r="A41" s="7" t="s">
        <v>309</v>
      </c>
      <c r="B41" s="20" t="s">
        <v>3</v>
      </c>
      <c r="C41" s="76">
        <v>580</v>
      </c>
      <c r="D41" s="76">
        <v>603</v>
      </c>
      <c r="E41" s="76">
        <v>651</v>
      </c>
      <c r="F41" s="76">
        <v>755</v>
      </c>
      <c r="G41" s="76">
        <v>759</v>
      </c>
      <c r="H41" s="76">
        <v>765</v>
      </c>
      <c r="I41" s="76">
        <v>1000</v>
      </c>
      <c r="J41" s="76">
        <v>1003</v>
      </c>
      <c r="K41" s="76">
        <v>1009</v>
      </c>
      <c r="L41" s="9">
        <v>1019</v>
      </c>
      <c r="M41" s="76"/>
      <c r="N41" s="76"/>
      <c r="O41" s="11" t="s">
        <v>15</v>
      </c>
      <c r="P41" s="6" t="s">
        <v>17</v>
      </c>
      <c r="Q41" s="38">
        <f>(C39+C44+C47+C49)</f>
        <v>2121</v>
      </c>
      <c r="R41" s="39">
        <f>SUM(Q41/Q42)</f>
        <v>0.26104615384615387</v>
      </c>
      <c r="S41" s="2">
        <v>2</v>
      </c>
    </row>
    <row r="42" spans="1:19" s="2" customFormat="1" ht="15.75" thickBot="1">
      <c r="A42" s="17" t="s">
        <v>337</v>
      </c>
      <c r="B42" s="77" t="s">
        <v>26</v>
      </c>
      <c r="C42" s="76">
        <v>542</v>
      </c>
      <c r="D42" s="76">
        <v>564</v>
      </c>
      <c r="E42" s="76">
        <v>593</v>
      </c>
      <c r="F42" s="76">
        <v>605</v>
      </c>
      <c r="G42" s="76">
        <v>607</v>
      </c>
      <c r="H42" s="76">
        <v>607</v>
      </c>
      <c r="I42" s="76">
        <v>639</v>
      </c>
      <c r="J42" s="76">
        <v>647</v>
      </c>
      <c r="K42" s="76">
        <v>650</v>
      </c>
      <c r="L42" s="76">
        <v>654</v>
      </c>
      <c r="M42" s="76">
        <v>678</v>
      </c>
      <c r="N42" s="76">
        <v>696</v>
      </c>
      <c r="O42" s="75"/>
      <c r="Q42" s="22">
        <v>8125</v>
      </c>
    </row>
    <row r="43" spans="1:19" s="2" customFormat="1" ht="15.75" thickBot="1">
      <c r="A43" s="17" t="s">
        <v>332</v>
      </c>
      <c r="B43" s="23" t="s">
        <v>8</v>
      </c>
      <c r="C43" s="76">
        <v>540</v>
      </c>
      <c r="D43" s="76">
        <v>541</v>
      </c>
      <c r="E43" s="76">
        <v>556</v>
      </c>
      <c r="F43" s="76">
        <v>574</v>
      </c>
      <c r="G43" s="76">
        <v>574</v>
      </c>
      <c r="H43" s="76">
        <v>586</v>
      </c>
      <c r="I43" s="76">
        <v>596</v>
      </c>
      <c r="J43" s="76">
        <v>610</v>
      </c>
      <c r="K43" s="76">
        <v>611</v>
      </c>
      <c r="L43" s="76">
        <v>641</v>
      </c>
      <c r="M43" s="76" t="s">
        <v>16</v>
      </c>
    </row>
    <row r="44" spans="1:19" s="2" customFormat="1" ht="15.75" thickBot="1">
      <c r="A44" s="17" t="s">
        <v>336</v>
      </c>
      <c r="B44" s="41" t="s">
        <v>18</v>
      </c>
      <c r="C44" s="76">
        <v>534</v>
      </c>
      <c r="D44" s="76">
        <v>535</v>
      </c>
      <c r="E44" s="76">
        <v>540</v>
      </c>
      <c r="F44" s="76">
        <v>547</v>
      </c>
      <c r="G44" s="76">
        <v>547</v>
      </c>
      <c r="H44" s="76">
        <v>547</v>
      </c>
      <c r="I44" s="76">
        <v>557</v>
      </c>
      <c r="J44" s="76" t="s">
        <v>16</v>
      </c>
    </row>
    <row r="45" spans="1:19" s="2" customFormat="1" ht="15.75" thickBot="1">
      <c r="A45" s="7" t="s">
        <v>334</v>
      </c>
      <c r="B45" s="8" t="s">
        <v>8</v>
      </c>
      <c r="C45" s="76">
        <v>526</v>
      </c>
      <c r="D45" s="76">
        <v>531</v>
      </c>
      <c r="E45" s="76">
        <v>612</v>
      </c>
      <c r="F45" s="76">
        <v>654</v>
      </c>
      <c r="G45" s="76">
        <v>655</v>
      </c>
      <c r="H45" s="76">
        <v>670</v>
      </c>
      <c r="I45" s="76">
        <v>673</v>
      </c>
      <c r="J45" s="76">
        <v>677</v>
      </c>
      <c r="K45" s="76">
        <v>678</v>
      </c>
      <c r="L45" s="76">
        <v>690</v>
      </c>
      <c r="M45" s="9">
        <v>1117</v>
      </c>
      <c r="N45" s="76"/>
      <c r="O45" s="75" t="s">
        <v>14</v>
      </c>
    </row>
    <row r="46" spans="1:19" s="2" customFormat="1" ht="15.75" thickBot="1">
      <c r="A46" s="17" t="s">
        <v>333</v>
      </c>
      <c r="B46" s="23" t="s">
        <v>8</v>
      </c>
      <c r="C46" s="76">
        <v>452</v>
      </c>
      <c r="D46" s="76">
        <v>453</v>
      </c>
      <c r="E46" s="76">
        <v>457</v>
      </c>
      <c r="F46" s="76" t="s">
        <v>16</v>
      </c>
    </row>
    <row r="47" spans="1:19" s="2" customFormat="1" ht="15.75" thickBot="1">
      <c r="A47" s="7" t="s">
        <v>315</v>
      </c>
      <c r="B47" s="42" t="s">
        <v>18</v>
      </c>
      <c r="C47" s="76">
        <v>431</v>
      </c>
      <c r="D47" s="76">
        <v>443</v>
      </c>
      <c r="E47" s="76">
        <v>476</v>
      </c>
      <c r="F47" s="76">
        <v>480</v>
      </c>
      <c r="G47" s="76">
        <v>481</v>
      </c>
      <c r="H47" s="76">
        <v>482</v>
      </c>
      <c r="I47" s="76">
        <v>591</v>
      </c>
      <c r="J47" s="76">
        <v>610</v>
      </c>
      <c r="K47" s="76">
        <v>615</v>
      </c>
      <c r="L47" s="76">
        <v>676</v>
      </c>
      <c r="M47" s="76">
        <v>727</v>
      </c>
      <c r="N47" s="9">
        <v>805</v>
      </c>
      <c r="O47" s="75" t="s">
        <v>57</v>
      </c>
    </row>
    <row r="48" spans="1:19" s="2" customFormat="1" ht="15.75" thickBot="1">
      <c r="A48" s="17" t="s">
        <v>67</v>
      </c>
      <c r="B48" s="25" t="s">
        <v>3</v>
      </c>
      <c r="C48" s="76">
        <v>394</v>
      </c>
      <c r="D48" s="76">
        <v>461</v>
      </c>
      <c r="E48" s="76">
        <v>469</v>
      </c>
      <c r="F48" s="76">
        <v>470</v>
      </c>
      <c r="G48" s="76">
        <v>471</v>
      </c>
      <c r="H48" s="76">
        <v>472</v>
      </c>
      <c r="I48" s="76" t="s">
        <v>16</v>
      </c>
    </row>
    <row r="49" spans="1:16" s="2" customFormat="1" ht="15.75" thickBot="1">
      <c r="A49" s="17" t="s">
        <v>338</v>
      </c>
      <c r="B49" s="41" t="s">
        <v>18</v>
      </c>
      <c r="C49" s="80">
        <v>291</v>
      </c>
      <c r="D49" s="76">
        <v>301</v>
      </c>
      <c r="E49" s="76" t="s">
        <v>16</v>
      </c>
    </row>
    <row r="50" spans="1:16" s="2" customFormat="1" ht="15.75" thickBot="1">
      <c r="A50" s="17" t="s">
        <v>335</v>
      </c>
      <c r="B50" s="25" t="s">
        <v>3</v>
      </c>
      <c r="C50" s="80">
        <v>195</v>
      </c>
      <c r="D50" s="76" t="s">
        <v>16</v>
      </c>
    </row>
    <row r="51" spans="1:16" s="2" customFormat="1" ht="14.25">
      <c r="C51" s="38"/>
    </row>
    <row r="52" spans="1:16" s="2" customFormat="1" ht="14.25">
      <c r="A52" s="1" t="s">
        <v>339</v>
      </c>
    </row>
    <row r="53" spans="1:16" s="2" customFormat="1" ht="9.75" customHeight="1" thickBot="1">
      <c r="A53" s="1"/>
    </row>
    <row r="54" spans="1:16" s="2" customFormat="1" ht="15.75" thickBot="1">
      <c r="A54" s="3" t="s">
        <v>0</v>
      </c>
      <c r="B54" s="4" t="s">
        <v>1</v>
      </c>
      <c r="C54" s="4" t="s">
        <v>2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/>
      <c r="M54" s="6" t="s">
        <v>289</v>
      </c>
      <c r="N54" s="39">
        <f>(7458/9659)</f>
        <v>0.77212962004348273</v>
      </c>
    </row>
    <row r="55" spans="1:16" s="2" customFormat="1" ht="15.75" thickBot="1">
      <c r="A55" s="7" t="s">
        <v>78</v>
      </c>
      <c r="B55" s="8" t="s">
        <v>8</v>
      </c>
      <c r="C55" s="76">
        <v>1002</v>
      </c>
      <c r="D55" s="76">
        <v>1018</v>
      </c>
      <c r="E55" s="9">
        <v>1063</v>
      </c>
      <c r="F55" s="76"/>
      <c r="G55" s="76"/>
      <c r="H55" s="76"/>
      <c r="I55" s="76"/>
      <c r="J55" s="76"/>
      <c r="K55" s="76"/>
      <c r="L55" s="11" t="s">
        <v>4</v>
      </c>
      <c r="M55" s="5"/>
      <c r="N55" s="6" t="s">
        <v>5</v>
      </c>
      <c r="O55" s="6" t="s">
        <v>6</v>
      </c>
      <c r="P55" s="6" t="s">
        <v>7</v>
      </c>
    </row>
    <row r="56" spans="1:16" s="2" customFormat="1" ht="15.75" thickBot="1">
      <c r="A56" s="7" t="s">
        <v>243</v>
      </c>
      <c r="B56" s="20" t="s">
        <v>3</v>
      </c>
      <c r="C56" s="76">
        <v>827</v>
      </c>
      <c r="D56" s="76">
        <v>872</v>
      </c>
      <c r="E56" s="76">
        <v>987</v>
      </c>
      <c r="F56" s="76">
        <v>1024</v>
      </c>
      <c r="G56" s="76">
        <v>1025</v>
      </c>
      <c r="H56" s="9">
        <v>1306</v>
      </c>
      <c r="I56" s="76"/>
      <c r="J56" s="76"/>
      <c r="K56" s="76"/>
      <c r="L56" s="11" t="s">
        <v>9</v>
      </c>
      <c r="M56" s="13" t="s">
        <v>8</v>
      </c>
      <c r="N56" s="14">
        <f>(C55+C59+C60+C61+C62)</f>
        <v>3156</v>
      </c>
      <c r="O56" s="15">
        <f>SUM(N56/N60)</f>
        <v>0.42857142857142855</v>
      </c>
      <c r="P56" s="5">
        <v>3</v>
      </c>
    </row>
    <row r="57" spans="1:16" s="2" customFormat="1" ht="15.75" thickBot="1">
      <c r="A57" s="7" t="s">
        <v>36</v>
      </c>
      <c r="B57" s="84" t="s">
        <v>26</v>
      </c>
      <c r="C57" s="76">
        <v>818</v>
      </c>
      <c r="D57" s="76">
        <v>872</v>
      </c>
      <c r="E57" s="76">
        <v>903</v>
      </c>
      <c r="F57" s="76">
        <v>997</v>
      </c>
      <c r="G57" s="76">
        <v>998</v>
      </c>
      <c r="H57" s="76">
        <v>1020</v>
      </c>
      <c r="I57" s="76">
        <v>1044</v>
      </c>
      <c r="J57" s="9">
        <v>1061</v>
      </c>
      <c r="K57" s="76"/>
      <c r="L57" s="11" t="s">
        <v>12</v>
      </c>
      <c r="M57" s="16" t="s">
        <v>3</v>
      </c>
      <c r="N57" s="14">
        <f>(C56+C63+C64+C66+C67)</f>
        <v>2238</v>
      </c>
      <c r="O57" s="15">
        <f>SUM(N57/N60)</f>
        <v>0.30391091797935904</v>
      </c>
      <c r="P57" s="5">
        <v>1</v>
      </c>
    </row>
    <row r="58" spans="1:16" s="2" customFormat="1" ht="15.75" thickBot="1">
      <c r="A58" s="7" t="s">
        <v>101</v>
      </c>
      <c r="B58" s="42" t="s">
        <v>18</v>
      </c>
      <c r="C58" s="76">
        <v>666</v>
      </c>
      <c r="D58" s="76">
        <v>670</v>
      </c>
      <c r="E58" s="76">
        <v>676</v>
      </c>
      <c r="F58" s="76">
        <v>723</v>
      </c>
      <c r="G58" s="76">
        <v>723</v>
      </c>
      <c r="H58" s="76">
        <v>723</v>
      </c>
      <c r="I58" s="76">
        <v>727</v>
      </c>
      <c r="J58" s="76">
        <v>739</v>
      </c>
      <c r="K58" s="9">
        <v>889</v>
      </c>
      <c r="L58" s="11" t="s">
        <v>14</v>
      </c>
      <c r="M58" s="79" t="s">
        <v>26</v>
      </c>
      <c r="N58" s="14">
        <f>(C57+C65+C68)</f>
        <v>1304</v>
      </c>
      <c r="O58" s="15">
        <f>SUM(N58/N60)</f>
        <v>0.1770776751765345</v>
      </c>
      <c r="P58" s="5">
        <v>1</v>
      </c>
    </row>
    <row r="59" spans="1:16" s="2" customFormat="1" ht="15.75" thickBot="1">
      <c r="A59" s="17" t="s">
        <v>341</v>
      </c>
      <c r="B59" s="23" t="s">
        <v>8</v>
      </c>
      <c r="C59" s="76">
        <v>591</v>
      </c>
      <c r="D59" s="76">
        <v>594</v>
      </c>
      <c r="E59" s="76">
        <v>605</v>
      </c>
      <c r="F59" s="76">
        <v>656</v>
      </c>
      <c r="G59" s="76">
        <v>656</v>
      </c>
      <c r="H59" s="76">
        <v>657</v>
      </c>
      <c r="I59" s="76">
        <v>662</v>
      </c>
      <c r="J59" s="76">
        <v>680</v>
      </c>
      <c r="K59" s="76" t="s">
        <v>16</v>
      </c>
      <c r="M59" s="26" t="s">
        <v>17</v>
      </c>
      <c r="N59" s="14">
        <v>666</v>
      </c>
      <c r="O59" s="15">
        <f>SUM(N59/N60)</f>
        <v>9.0439978272677898E-2</v>
      </c>
      <c r="P59" s="5">
        <v>1</v>
      </c>
    </row>
    <row r="60" spans="1:16" s="2" customFormat="1" ht="15.75" thickBot="1">
      <c r="A60" s="7" t="s">
        <v>100</v>
      </c>
      <c r="B60" s="8" t="s">
        <v>8</v>
      </c>
      <c r="C60" s="80">
        <v>581</v>
      </c>
      <c r="D60" s="76">
        <v>616</v>
      </c>
      <c r="E60" s="76">
        <v>635</v>
      </c>
      <c r="F60" s="76">
        <v>682</v>
      </c>
      <c r="G60" s="76">
        <v>685</v>
      </c>
      <c r="H60" s="76">
        <v>691</v>
      </c>
      <c r="I60" s="76">
        <v>692</v>
      </c>
      <c r="J60" s="76">
        <v>731</v>
      </c>
      <c r="K60" s="9">
        <v>1053</v>
      </c>
      <c r="L60" s="11" t="s">
        <v>10</v>
      </c>
      <c r="N60" s="22">
        <v>7364</v>
      </c>
    </row>
    <row r="61" spans="1:16" s="2" customFormat="1" ht="15.75" thickBot="1">
      <c r="A61" s="7" t="s">
        <v>342</v>
      </c>
      <c r="B61" s="8" t="s">
        <v>8</v>
      </c>
      <c r="C61" s="76">
        <v>506</v>
      </c>
      <c r="D61" s="76">
        <v>521</v>
      </c>
      <c r="E61" s="76">
        <v>532</v>
      </c>
      <c r="F61" s="76">
        <v>544</v>
      </c>
      <c r="G61" s="76">
        <v>545</v>
      </c>
      <c r="H61" s="76">
        <v>579</v>
      </c>
      <c r="I61" s="76">
        <v>586</v>
      </c>
      <c r="J61" s="76">
        <v>870</v>
      </c>
      <c r="K61" s="9">
        <v>904</v>
      </c>
      <c r="L61" s="11" t="s">
        <v>15</v>
      </c>
    </row>
    <row r="62" spans="1:16" s="2" customFormat="1" ht="15.75" thickBot="1">
      <c r="A62" s="17" t="s">
        <v>325</v>
      </c>
      <c r="B62" s="23" t="s">
        <v>8</v>
      </c>
      <c r="C62" s="76">
        <v>476</v>
      </c>
      <c r="D62" s="76">
        <v>487</v>
      </c>
      <c r="E62" s="76">
        <v>500</v>
      </c>
      <c r="F62" s="76">
        <v>505</v>
      </c>
      <c r="G62" s="76">
        <v>508</v>
      </c>
      <c r="H62" s="76">
        <v>564</v>
      </c>
      <c r="I62" s="76">
        <v>585</v>
      </c>
      <c r="J62" s="76" t="s">
        <v>16</v>
      </c>
    </row>
    <row r="63" spans="1:16" s="2" customFormat="1" ht="15.75" thickBot="1">
      <c r="A63" s="17" t="s">
        <v>340</v>
      </c>
      <c r="B63" s="25" t="s">
        <v>3</v>
      </c>
      <c r="C63" s="76">
        <v>456</v>
      </c>
      <c r="D63" s="76">
        <v>464</v>
      </c>
      <c r="E63" s="76">
        <v>496</v>
      </c>
      <c r="F63" s="76">
        <v>497</v>
      </c>
      <c r="G63" s="76">
        <v>498</v>
      </c>
      <c r="H63" s="76" t="s">
        <v>16</v>
      </c>
      <c r="M63" s="19"/>
      <c r="N63" s="14"/>
      <c r="O63" s="15"/>
      <c r="P63" s="5"/>
    </row>
    <row r="64" spans="1:16" s="2" customFormat="1" ht="15.75" thickBot="1">
      <c r="A64" s="17" t="s">
        <v>343</v>
      </c>
      <c r="B64" s="25" t="s">
        <v>3</v>
      </c>
      <c r="C64" s="76">
        <v>433</v>
      </c>
      <c r="D64" s="76">
        <v>494</v>
      </c>
      <c r="E64" s="76">
        <v>499</v>
      </c>
      <c r="F64" s="76">
        <v>605</v>
      </c>
      <c r="G64" s="76">
        <v>605</v>
      </c>
      <c r="H64" s="76">
        <v>650</v>
      </c>
      <c r="I64" s="76">
        <v>754</v>
      </c>
      <c r="J64" s="76">
        <v>769</v>
      </c>
      <c r="K64" s="76">
        <v>877</v>
      </c>
      <c r="L64" s="11"/>
      <c r="M64" s="15"/>
      <c r="N64" s="5"/>
    </row>
    <row r="65" spans="1:13" s="2" customFormat="1" ht="15.75" thickBot="1">
      <c r="A65" s="17" t="s">
        <v>345</v>
      </c>
      <c r="B65" s="77" t="s">
        <v>26</v>
      </c>
      <c r="C65" s="76">
        <v>396</v>
      </c>
      <c r="D65" s="76">
        <v>430</v>
      </c>
      <c r="E65" s="76">
        <v>436</v>
      </c>
      <c r="F65" s="76" t="s">
        <v>16</v>
      </c>
      <c r="L65" s="22"/>
    </row>
    <row r="66" spans="1:13" s="2" customFormat="1" ht="15.75" thickBot="1">
      <c r="A66" s="17" t="s">
        <v>320</v>
      </c>
      <c r="B66" s="25" t="s">
        <v>3</v>
      </c>
      <c r="C66" s="76">
        <v>312</v>
      </c>
      <c r="D66" s="76">
        <v>316</v>
      </c>
      <c r="E66" s="76" t="s">
        <v>16</v>
      </c>
      <c r="L66" s="22"/>
    </row>
    <row r="67" spans="1:13" s="2" customFormat="1" ht="15.75" thickBot="1">
      <c r="A67" s="17" t="s">
        <v>344</v>
      </c>
      <c r="B67" s="25" t="s">
        <v>3</v>
      </c>
      <c r="C67" s="76">
        <v>210</v>
      </c>
      <c r="D67" s="76" t="s">
        <v>16</v>
      </c>
      <c r="L67" s="22"/>
    </row>
    <row r="68" spans="1:13" s="2" customFormat="1" ht="15.75" thickBot="1">
      <c r="A68" s="17" t="s">
        <v>346</v>
      </c>
      <c r="B68" s="77" t="s">
        <v>26</v>
      </c>
      <c r="C68" s="76">
        <v>90</v>
      </c>
      <c r="D68" s="76" t="s">
        <v>16</v>
      </c>
      <c r="M68" s="22"/>
    </row>
    <row r="69" spans="1:13" s="2" customFormat="1" ht="15">
      <c r="A69" s="40"/>
      <c r="C69" s="38"/>
      <c r="D69" s="38"/>
    </row>
    <row r="70" spans="1:13">
      <c r="A70" s="27"/>
      <c r="B70" s="27" t="s">
        <v>19</v>
      </c>
      <c r="C70" s="28" t="s">
        <v>8</v>
      </c>
      <c r="D70" s="29" t="s">
        <v>3</v>
      </c>
      <c r="E70" s="83" t="s">
        <v>26</v>
      </c>
      <c r="F70" s="27" t="s">
        <v>17</v>
      </c>
    </row>
    <row r="71" spans="1:13" ht="14.25">
      <c r="A71" s="32" t="s">
        <v>5</v>
      </c>
      <c r="B71" s="33">
        <f>SUM(N60+Q42+O25+L9)</f>
        <v>30153</v>
      </c>
      <c r="C71" s="34">
        <f>SUM(N56+Q38+O21+L5)</f>
        <v>12357</v>
      </c>
      <c r="D71" s="34">
        <f>SUM(N57+Q39+O22+L6)</f>
        <v>8352</v>
      </c>
      <c r="E71" s="34">
        <f>SUM(N58+O23+Q40+L7)</f>
        <v>4564</v>
      </c>
      <c r="F71" s="34">
        <f>SUM(Q41+O24+N59+L8)</f>
        <v>4880</v>
      </c>
    </row>
    <row r="72" spans="1:13" ht="14.25">
      <c r="A72" s="32" t="s">
        <v>6</v>
      </c>
      <c r="B72" s="35">
        <v>1</v>
      </c>
      <c r="C72" s="36">
        <f>SUM(C71/$B$71)</f>
        <v>0.40980996915729778</v>
      </c>
      <c r="D72" s="36">
        <f>SUM(D71/$B$71)</f>
        <v>0.27698736444134914</v>
      </c>
      <c r="E72" s="36">
        <f>SUM(E71/$B$71)</f>
        <v>0.15136139024309356</v>
      </c>
      <c r="F72" s="36">
        <f>SUM(F71/$B$71)</f>
        <v>0.16184127615825955</v>
      </c>
    </row>
    <row r="73" spans="1:13" ht="14.25">
      <c r="A73" s="32" t="s">
        <v>7</v>
      </c>
      <c r="B73" s="27">
        <v>25</v>
      </c>
      <c r="C73">
        <v>11</v>
      </c>
      <c r="D73">
        <v>7</v>
      </c>
      <c r="E73">
        <v>3</v>
      </c>
      <c r="F73">
        <v>4</v>
      </c>
    </row>
  </sheetData>
  <sortState ref="A4:C15">
    <sortCondition descending="1" ref="C4:C15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Q70"/>
  <sheetViews>
    <sheetView workbookViewId="0">
      <selection activeCell="O1" sqref="O1"/>
    </sheetView>
  </sheetViews>
  <sheetFormatPr defaultRowHeight="12.75"/>
  <cols>
    <col min="1" max="1" width="20.28515625" customWidth="1"/>
    <col min="6" max="6" width="9" customWidth="1"/>
    <col min="13" max="13" width="9.42578125" bestFit="1" customWidth="1"/>
  </cols>
  <sheetData>
    <row r="1" spans="1:15" s="2" customFormat="1" ht="14.25">
      <c r="A1" s="1" t="s">
        <v>288</v>
      </c>
    </row>
    <row r="2" spans="1:15" s="2" customFormat="1" ht="9" customHeight="1" thickBot="1">
      <c r="A2" s="1"/>
    </row>
    <row r="3" spans="1:15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/>
      <c r="L3" s="6" t="s">
        <v>289</v>
      </c>
      <c r="M3" s="39">
        <f>(5308/7657)</f>
        <v>0.69322188846806843</v>
      </c>
    </row>
    <row r="4" spans="1:15" s="2" customFormat="1" ht="15.75" thickBot="1">
      <c r="A4" s="7" t="s">
        <v>32</v>
      </c>
      <c r="B4" s="20" t="s">
        <v>3</v>
      </c>
      <c r="C4" s="76">
        <v>711</v>
      </c>
      <c r="D4" s="76">
        <v>721</v>
      </c>
      <c r="E4" s="76">
        <v>733</v>
      </c>
      <c r="F4" s="76">
        <v>818</v>
      </c>
      <c r="G4" s="9">
        <v>897</v>
      </c>
      <c r="H4" s="76"/>
      <c r="I4" s="76"/>
      <c r="J4" s="76"/>
      <c r="K4" s="75" t="s">
        <v>4</v>
      </c>
      <c r="L4" s="5"/>
      <c r="M4" s="6" t="s">
        <v>5</v>
      </c>
      <c r="N4" s="6" t="s">
        <v>6</v>
      </c>
      <c r="O4" s="6" t="s">
        <v>7</v>
      </c>
    </row>
    <row r="5" spans="1:15" s="2" customFormat="1" ht="15.75" thickBot="1">
      <c r="A5" s="7" t="s">
        <v>290</v>
      </c>
      <c r="B5" s="8" t="s">
        <v>8</v>
      </c>
      <c r="C5" s="76">
        <v>683</v>
      </c>
      <c r="D5" s="76">
        <v>683</v>
      </c>
      <c r="E5" s="76">
        <v>753</v>
      </c>
      <c r="F5" s="76">
        <v>764</v>
      </c>
      <c r="G5" s="76">
        <v>812</v>
      </c>
      <c r="H5" s="76">
        <v>840</v>
      </c>
      <c r="I5" s="9">
        <v>1023</v>
      </c>
      <c r="J5" s="76"/>
      <c r="K5" s="75" t="s">
        <v>9</v>
      </c>
      <c r="L5" s="13" t="s">
        <v>8</v>
      </c>
      <c r="M5" s="14">
        <f>(C5+C6+C7+C12+C13)</f>
        <v>2346</v>
      </c>
      <c r="N5" s="15">
        <f>SUM(M5/M10)</f>
        <v>0.44719786504003051</v>
      </c>
      <c r="O5" s="5">
        <v>3</v>
      </c>
    </row>
    <row r="6" spans="1:15" s="2" customFormat="1" ht="15.75" thickBot="1">
      <c r="A6" s="7" t="s">
        <v>106</v>
      </c>
      <c r="B6" s="8" t="s">
        <v>8</v>
      </c>
      <c r="C6" s="76">
        <v>527</v>
      </c>
      <c r="D6" s="76">
        <v>549</v>
      </c>
      <c r="E6" s="76">
        <v>556</v>
      </c>
      <c r="F6" s="76">
        <v>611</v>
      </c>
      <c r="G6" s="76">
        <v>763</v>
      </c>
      <c r="H6" s="76">
        <v>848</v>
      </c>
      <c r="I6" s="9">
        <v>919</v>
      </c>
      <c r="J6" s="76"/>
      <c r="K6" s="75" t="s">
        <v>12</v>
      </c>
      <c r="L6" s="16" t="s">
        <v>3</v>
      </c>
      <c r="M6" s="14">
        <f>(C4+C9)</f>
        <v>1187</v>
      </c>
      <c r="N6" s="15">
        <f>SUM(M6/M10)</f>
        <v>0.22626763248189097</v>
      </c>
      <c r="O6" s="5">
        <v>1</v>
      </c>
    </row>
    <row r="7" spans="1:15" s="2" customFormat="1" ht="15.75" thickBot="1">
      <c r="A7" s="7" t="s">
        <v>291</v>
      </c>
      <c r="B7" s="8" t="s">
        <v>8</v>
      </c>
      <c r="C7" s="76">
        <v>507</v>
      </c>
      <c r="D7" s="76">
        <v>617</v>
      </c>
      <c r="E7" s="76">
        <v>619</v>
      </c>
      <c r="F7" s="76">
        <v>622</v>
      </c>
      <c r="G7" s="76">
        <v>630</v>
      </c>
      <c r="H7" s="76">
        <v>808</v>
      </c>
      <c r="I7" s="76">
        <v>813</v>
      </c>
      <c r="J7" s="9">
        <v>827</v>
      </c>
      <c r="K7" s="75" t="s">
        <v>10</v>
      </c>
      <c r="L7" s="19" t="s">
        <v>11</v>
      </c>
      <c r="M7" s="38">
        <f>(C8+C14)</f>
        <v>714</v>
      </c>
      <c r="N7" s="39">
        <f>SUM(M7/M10)</f>
        <v>0.13610369805566144</v>
      </c>
      <c r="O7" s="2">
        <v>1</v>
      </c>
    </row>
    <row r="8" spans="1:15" s="2" customFormat="1" ht="15.75" thickBot="1">
      <c r="A8" s="7" t="s">
        <v>292</v>
      </c>
      <c r="B8" s="37" t="s">
        <v>11</v>
      </c>
      <c r="C8" s="76">
        <v>482</v>
      </c>
      <c r="D8" s="76">
        <v>500</v>
      </c>
      <c r="E8" s="76">
        <v>568</v>
      </c>
      <c r="F8" s="76">
        <v>630</v>
      </c>
      <c r="G8" s="76">
        <v>647</v>
      </c>
      <c r="H8" s="76">
        <v>701</v>
      </c>
      <c r="I8" s="76">
        <v>745</v>
      </c>
      <c r="J8" s="9">
        <v>761</v>
      </c>
      <c r="K8" s="75" t="s">
        <v>15</v>
      </c>
      <c r="L8" s="79" t="s">
        <v>26</v>
      </c>
      <c r="M8" s="14">
        <f>(C11+C10)</f>
        <v>772</v>
      </c>
      <c r="N8" s="15">
        <f>SUM(M8/M10)</f>
        <v>0.14715974075486085</v>
      </c>
      <c r="O8" s="5"/>
    </row>
    <row r="9" spans="1:15" s="2" customFormat="1" ht="15.75" thickBot="1">
      <c r="A9" s="17" t="s">
        <v>83</v>
      </c>
      <c r="B9" s="25" t="s">
        <v>3</v>
      </c>
      <c r="C9" s="76">
        <v>476</v>
      </c>
      <c r="D9" s="76">
        <v>478</v>
      </c>
      <c r="E9" s="76">
        <v>483</v>
      </c>
      <c r="F9" s="76">
        <v>496</v>
      </c>
      <c r="G9" s="76">
        <v>512</v>
      </c>
      <c r="H9" s="76">
        <v>530</v>
      </c>
      <c r="I9" s="76">
        <v>606</v>
      </c>
      <c r="J9" s="76">
        <v>617</v>
      </c>
      <c r="K9" s="75"/>
      <c r="L9" s="26" t="s">
        <v>17</v>
      </c>
      <c r="M9" s="38">
        <v>227</v>
      </c>
      <c r="N9" s="39">
        <f>SUM(M9/M10)</f>
        <v>4.3271063667556231E-2</v>
      </c>
    </row>
    <row r="10" spans="1:15" s="2" customFormat="1" ht="15.75" thickBot="1">
      <c r="A10" s="17" t="s">
        <v>295</v>
      </c>
      <c r="B10" s="77" t="s">
        <v>26</v>
      </c>
      <c r="C10" s="76">
        <v>402</v>
      </c>
      <c r="D10" s="76">
        <v>404</v>
      </c>
      <c r="E10" s="76">
        <v>463</v>
      </c>
      <c r="F10" s="76">
        <v>466</v>
      </c>
      <c r="G10" s="76">
        <v>479</v>
      </c>
      <c r="H10" s="76">
        <v>501</v>
      </c>
      <c r="I10" s="76" t="s">
        <v>16</v>
      </c>
      <c r="J10" s="38"/>
      <c r="M10" s="22">
        <v>5246</v>
      </c>
    </row>
    <row r="11" spans="1:15" s="2" customFormat="1" ht="15.75" thickBot="1">
      <c r="A11" s="17" t="s">
        <v>297</v>
      </c>
      <c r="B11" s="77" t="s">
        <v>26</v>
      </c>
      <c r="C11" s="76">
        <v>370</v>
      </c>
      <c r="D11" s="76">
        <v>415</v>
      </c>
      <c r="E11" s="76">
        <v>418</v>
      </c>
      <c r="F11" s="76">
        <v>429</v>
      </c>
      <c r="G11" s="76">
        <v>451</v>
      </c>
      <c r="H11" s="76" t="s">
        <v>16</v>
      </c>
      <c r="I11" s="38"/>
      <c r="J11" s="94"/>
      <c r="K11" s="38"/>
      <c r="L11" s="39"/>
    </row>
    <row r="12" spans="1:15" s="2" customFormat="1" ht="15.75" thickBot="1">
      <c r="A12" s="17" t="s">
        <v>293</v>
      </c>
      <c r="B12" s="23" t="s">
        <v>8</v>
      </c>
      <c r="C12" s="76">
        <v>354</v>
      </c>
      <c r="D12" s="76">
        <v>357</v>
      </c>
      <c r="E12" s="76">
        <v>357</v>
      </c>
      <c r="F12" s="76">
        <v>378</v>
      </c>
      <c r="G12" s="76" t="s">
        <v>16</v>
      </c>
      <c r="H12" s="38"/>
      <c r="I12" s="38"/>
      <c r="J12" s="38"/>
      <c r="K12" s="22"/>
    </row>
    <row r="13" spans="1:15" s="2" customFormat="1" ht="15.75" thickBot="1">
      <c r="A13" s="17" t="s">
        <v>298</v>
      </c>
      <c r="B13" s="23" t="s">
        <v>8</v>
      </c>
      <c r="C13" s="76">
        <v>275</v>
      </c>
      <c r="D13" s="76">
        <v>276</v>
      </c>
      <c r="E13" s="76">
        <v>276</v>
      </c>
      <c r="F13" s="76" t="s">
        <v>16</v>
      </c>
      <c r="G13" s="38"/>
      <c r="H13" s="38"/>
      <c r="I13" s="38"/>
      <c r="J13" s="38"/>
    </row>
    <row r="14" spans="1:15" s="2" customFormat="1" ht="15.75" thickBot="1">
      <c r="A14" s="17" t="s">
        <v>294</v>
      </c>
      <c r="B14" s="18" t="s">
        <v>11</v>
      </c>
      <c r="C14" s="76">
        <v>232</v>
      </c>
      <c r="D14" s="76">
        <v>232</v>
      </c>
      <c r="E14" s="76" t="s">
        <v>16</v>
      </c>
      <c r="F14" s="38"/>
      <c r="G14" s="38"/>
      <c r="H14" s="38"/>
      <c r="I14" s="38"/>
      <c r="J14" s="38"/>
      <c r="K14" s="22"/>
    </row>
    <row r="15" spans="1:15" s="2" customFormat="1" ht="15.75" thickBot="1">
      <c r="A15" s="17" t="s">
        <v>296</v>
      </c>
      <c r="B15" s="41" t="s">
        <v>18</v>
      </c>
      <c r="C15" s="76">
        <v>227</v>
      </c>
      <c r="D15" s="76" t="s">
        <v>16</v>
      </c>
      <c r="E15" s="38"/>
      <c r="F15" s="38"/>
      <c r="G15" s="38"/>
      <c r="H15" s="38"/>
      <c r="I15" s="38"/>
      <c r="J15" s="38"/>
    </row>
    <row r="16" spans="1:15" s="2" customFormat="1" ht="14.25">
      <c r="C16" s="38"/>
    </row>
    <row r="17" spans="1:16" s="2" customFormat="1" ht="14.25">
      <c r="A17" s="1" t="s">
        <v>299</v>
      </c>
    </row>
    <row r="18" spans="1:16" s="2" customFormat="1" ht="9.75" customHeight="1" thickBot="1">
      <c r="A18" s="1"/>
    </row>
    <row r="19" spans="1:16" s="2" customFormat="1" ht="15.75" thickBot="1">
      <c r="A19" s="3" t="s">
        <v>0</v>
      </c>
      <c r="B19" s="4" t="s">
        <v>1</v>
      </c>
      <c r="C19" s="4" t="s">
        <v>2</v>
      </c>
      <c r="D19" s="4">
        <v>2</v>
      </c>
      <c r="E19" s="4">
        <v>3</v>
      </c>
      <c r="F19" s="4">
        <v>4</v>
      </c>
      <c r="G19" s="4">
        <v>5</v>
      </c>
      <c r="H19" s="4">
        <v>6</v>
      </c>
      <c r="I19" s="4">
        <v>7</v>
      </c>
      <c r="J19" s="4">
        <v>8</v>
      </c>
      <c r="K19" s="4">
        <v>9</v>
      </c>
      <c r="L19" s="4"/>
      <c r="M19" s="6" t="s">
        <v>289</v>
      </c>
      <c r="N19" s="39">
        <f>(6986/10402)</f>
        <v>0.67160161507402427</v>
      </c>
    </row>
    <row r="20" spans="1:16" s="2" customFormat="1" ht="15.75" thickBot="1">
      <c r="A20" s="7" t="s">
        <v>301</v>
      </c>
      <c r="B20" s="84" t="s">
        <v>26</v>
      </c>
      <c r="C20" s="9">
        <v>1170</v>
      </c>
      <c r="D20" s="76"/>
      <c r="E20" s="76"/>
      <c r="F20" s="76"/>
      <c r="G20" s="76"/>
      <c r="H20" s="76"/>
      <c r="I20" s="76"/>
      <c r="J20" s="76"/>
      <c r="K20" s="76"/>
      <c r="L20" s="75" t="s">
        <v>4</v>
      </c>
      <c r="M20" s="5"/>
      <c r="N20" s="6" t="s">
        <v>5</v>
      </c>
      <c r="O20" s="6" t="s">
        <v>6</v>
      </c>
      <c r="P20" s="6" t="s">
        <v>7</v>
      </c>
    </row>
    <row r="21" spans="1:16" s="2" customFormat="1" ht="15.75" thickBot="1">
      <c r="A21" s="7" t="s">
        <v>56</v>
      </c>
      <c r="B21" s="20" t="s">
        <v>3</v>
      </c>
      <c r="C21" s="9">
        <v>913</v>
      </c>
      <c r="D21" s="76"/>
      <c r="E21" s="76"/>
      <c r="F21" s="76"/>
      <c r="G21" s="76"/>
      <c r="H21" s="76"/>
      <c r="I21" s="76"/>
      <c r="J21" s="76"/>
      <c r="K21" s="76"/>
      <c r="L21" s="75" t="s">
        <v>9</v>
      </c>
      <c r="M21" s="13" t="s">
        <v>8</v>
      </c>
      <c r="N21" s="14">
        <f>(C23+C25+C27+C28)</f>
        <v>2082</v>
      </c>
      <c r="O21" s="15">
        <f>SUM(N21/N26)</f>
        <v>0.30191415313225056</v>
      </c>
      <c r="P21" s="5">
        <v>2</v>
      </c>
    </row>
    <row r="22" spans="1:16" s="2" customFormat="1" ht="15.75" thickBot="1">
      <c r="A22" s="7" t="s">
        <v>300</v>
      </c>
      <c r="B22" s="42" t="s">
        <v>18</v>
      </c>
      <c r="C22" s="76">
        <v>817</v>
      </c>
      <c r="D22" s="76">
        <v>831</v>
      </c>
      <c r="E22" s="76">
        <v>835</v>
      </c>
      <c r="F22" s="76">
        <v>838</v>
      </c>
      <c r="G22" s="76">
        <v>845</v>
      </c>
      <c r="H22" s="76">
        <v>861</v>
      </c>
      <c r="I22" s="9">
        <v>879</v>
      </c>
      <c r="J22" s="76"/>
      <c r="K22" s="76"/>
      <c r="L22" s="75" t="s">
        <v>15</v>
      </c>
      <c r="M22" s="16" t="s">
        <v>3</v>
      </c>
      <c r="N22" s="14">
        <f>(C21+C24+C26)</f>
        <v>1968</v>
      </c>
      <c r="O22" s="15">
        <f>SUM(N22/N26)</f>
        <v>0.28538283062645009</v>
      </c>
      <c r="P22" s="5">
        <v>3</v>
      </c>
    </row>
    <row r="23" spans="1:16" s="2" customFormat="1" ht="15.75" thickBot="1">
      <c r="A23" s="7" t="s">
        <v>55</v>
      </c>
      <c r="B23" s="8" t="s">
        <v>8</v>
      </c>
      <c r="C23" s="76">
        <v>811</v>
      </c>
      <c r="D23" s="9">
        <v>901</v>
      </c>
      <c r="E23" s="76"/>
      <c r="F23" s="76"/>
      <c r="G23" s="76"/>
      <c r="H23" s="76"/>
      <c r="I23" s="76"/>
      <c r="J23" s="76"/>
      <c r="K23" s="76"/>
      <c r="L23" s="75" t="s">
        <v>12</v>
      </c>
      <c r="M23" s="19" t="s">
        <v>11</v>
      </c>
      <c r="N23" s="38">
        <f>(C30+C31)</f>
        <v>535</v>
      </c>
      <c r="O23" s="39">
        <f>SUM(N23/N26)</f>
        <v>7.7581206496519728E-2</v>
      </c>
    </row>
    <row r="24" spans="1:16" s="2" customFormat="1" ht="15.75" thickBot="1">
      <c r="A24" s="7" t="s">
        <v>302</v>
      </c>
      <c r="B24" s="20" t="s">
        <v>3</v>
      </c>
      <c r="C24" s="76">
        <v>647</v>
      </c>
      <c r="D24" s="76">
        <v>676</v>
      </c>
      <c r="E24" s="76">
        <v>708</v>
      </c>
      <c r="F24" s="76">
        <v>732</v>
      </c>
      <c r="G24" s="76">
        <v>742</v>
      </c>
      <c r="H24" s="76">
        <v>760</v>
      </c>
      <c r="I24" s="9">
        <v>907</v>
      </c>
      <c r="J24" s="76"/>
      <c r="K24" s="76"/>
      <c r="L24" s="75" t="s">
        <v>10</v>
      </c>
      <c r="M24" s="79" t="s">
        <v>26</v>
      </c>
      <c r="N24" s="14">
        <f>(C20+C29)</f>
        <v>1494</v>
      </c>
      <c r="O24" s="15">
        <f>SUM(N24/N26)</f>
        <v>0.21664733178654291</v>
      </c>
      <c r="P24" s="5">
        <v>1</v>
      </c>
    </row>
    <row r="25" spans="1:16" s="2" customFormat="1" ht="15.75" thickBot="1">
      <c r="A25" s="7" t="s">
        <v>98</v>
      </c>
      <c r="B25" s="8" t="s">
        <v>8</v>
      </c>
      <c r="C25" s="76">
        <v>498</v>
      </c>
      <c r="D25" s="76">
        <v>511</v>
      </c>
      <c r="E25" s="76">
        <v>524</v>
      </c>
      <c r="F25" s="76">
        <v>529</v>
      </c>
      <c r="G25" s="76">
        <v>536</v>
      </c>
      <c r="H25" s="76">
        <v>586</v>
      </c>
      <c r="I25" s="76">
        <v>649</v>
      </c>
      <c r="J25" s="76">
        <v>665</v>
      </c>
      <c r="K25" s="9">
        <v>727</v>
      </c>
      <c r="L25" s="75" t="s">
        <v>14</v>
      </c>
      <c r="M25" s="26" t="s">
        <v>17</v>
      </c>
      <c r="N25" s="14">
        <v>817</v>
      </c>
      <c r="O25" s="15">
        <f>SUM(N25/N26)</f>
        <v>0.11847447795823667</v>
      </c>
      <c r="P25" s="5">
        <v>1</v>
      </c>
    </row>
    <row r="26" spans="1:16" s="2" customFormat="1" ht="15.75" thickBot="1">
      <c r="A26" s="7" t="s">
        <v>48</v>
      </c>
      <c r="B26" s="20" t="s">
        <v>3</v>
      </c>
      <c r="C26" s="76">
        <v>408</v>
      </c>
      <c r="D26" s="76">
        <v>418</v>
      </c>
      <c r="E26" s="76">
        <v>420</v>
      </c>
      <c r="F26" s="76">
        <v>427</v>
      </c>
      <c r="G26" s="76">
        <v>430</v>
      </c>
      <c r="H26" s="76">
        <v>605</v>
      </c>
      <c r="I26" s="76">
        <v>609</v>
      </c>
      <c r="J26" s="76">
        <v>617</v>
      </c>
      <c r="K26" s="9">
        <v>648</v>
      </c>
      <c r="L26" s="9" t="s">
        <v>57</v>
      </c>
      <c r="N26" s="22">
        <v>6896</v>
      </c>
    </row>
    <row r="27" spans="1:16" s="2" customFormat="1" ht="15.75" thickBot="1">
      <c r="A27" s="17" t="s">
        <v>91</v>
      </c>
      <c r="B27" s="23" t="s">
        <v>8</v>
      </c>
      <c r="C27" s="76">
        <v>400</v>
      </c>
      <c r="D27" s="76">
        <v>422</v>
      </c>
      <c r="E27" s="76">
        <v>431</v>
      </c>
      <c r="F27" s="76">
        <v>433</v>
      </c>
      <c r="G27" s="76">
        <v>435</v>
      </c>
      <c r="H27" s="76">
        <v>446</v>
      </c>
      <c r="I27" s="76">
        <v>540</v>
      </c>
      <c r="J27" s="76">
        <v>555</v>
      </c>
      <c r="K27" s="76">
        <v>608</v>
      </c>
      <c r="L27" s="75"/>
    </row>
    <row r="28" spans="1:16" s="2" customFormat="1" ht="15.75" thickBot="1">
      <c r="A28" s="17" t="s">
        <v>303</v>
      </c>
      <c r="B28" s="23" t="s">
        <v>8</v>
      </c>
      <c r="C28" s="76">
        <v>373</v>
      </c>
      <c r="D28" s="76">
        <v>384</v>
      </c>
      <c r="E28" s="76">
        <v>405</v>
      </c>
      <c r="F28" s="76">
        <v>409</v>
      </c>
      <c r="G28" s="76">
        <v>410</v>
      </c>
      <c r="H28" s="76">
        <v>422</v>
      </c>
      <c r="I28" s="76" t="s">
        <v>16</v>
      </c>
    </row>
    <row r="29" spans="1:16" s="2" customFormat="1" ht="15.75" thickBot="1">
      <c r="A29" s="17" t="s">
        <v>306</v>
      </c>
      <c r="B29" s="77" t="s">
        <v>26</v>
      </c>
      <c r="C29" s="76">
        <v>324</v>
      </c>
      <c r="D29" s="76">
        <v>383</v>
      </c>
      <c r="E29" s="76">
        <v>390</v>
      </c>
      <c r="F29" s="76">
        <v>391</v>
      </c>
      <c r="G29" s="76">
        <v>393</v>
      </c>
      <c r="H29" s="76" t="s">
        <v>16</v>
      </c>
    </row>
    <row r="30" spans="1:16" s="2" customFormat="1" ht="15.75" thickBot="1">
      <c r="A30" s="17" t="s">
        <v>304</v>
      </c>
      <c r="B30" s="18" t="s">
        <v>11</v>
      </c>
      <c r="C30" s="76">
        <v>313</v>
      </c>
      <c r="D30" s="76">
        <v>353</v>
      </c>
      <c r="E30" s="76">
        <v>471</v>
      </c>
      <c r="F30" s="76">
        <v>475</v>
      </c>
      <c r="G30" s="76">
        <v>481</v>
      </c>
      <c r="H30" s="76">
        <v>510</v>
      </c>
      <c r="I30" s="76">
        <v>524</v>
      </c>
      <c r="J30" s="76">
        <v>529</v>
      </c>
      <c r="K30" s="76" t="s">
        <v>16</v>
      </c>
      <c r="L30" s="38"/>
      <c r="M30" s="38"/>
    </row>
    <row r="31" spans="1:16" s="2" customFormat="1" ht="15.75" thickBot="1">
      <c r="A31" s="17" t="s">
        <v>305</v>
      </c>
      <c r="B31" s="18" t="s">
        <v>11</v>
      </c>
      <c r="C31" s="76">
        <v>222</v>
      </c>
      <c r="D31" s="76">
        <v>241</v>
      </c>
      <c r="E31" s="76" t="s">
        <v>16</v>
      </c>
      <c r="H31" s="38"/>
      <c r="I31" s="38"/>
      <c r="J31" s="38"/>
      <c r="K31" s="38"/>
      <c r="L31" s="38"/>
      <c r="M31" s="38"/>
    </row>
    <row r="32" spans="1:16" s="2" customFormat="1" ht="14.25">
      <c r="C32" s="38"/>
    </row>
    <row r="33" spans="1:16" s="2" customFormat="1" ht="14.25">
      <c r="A33" s="1" t="s">
        <v>307</v>
      </c>
    </row>
    <row r="34" spans="1:16" s="2" customFormat="1" ht="9" customHeight="1" thickBot="1">
      <c r="A34" s="1"/>
    </row>
    <row r="35" spans="1:16" s="2" customFormat="1" ht="15.75" thickBot="1">
      <c r="A35" s="3" t="s">
        <v>0</v>
      </c>
      <c r="B35" s="4" t="s">
        <v>1</v>
      </c>
      <c r="C35" s="4" t="s">
        <v>2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4">
        <v>9</v>
      </c>
      <c r="L35" s="4"/>
      <c r="M35" s="6" t="s">
        <v>289</v>
      </c>
      <c r="N35" s="39">
        <f>(6689/9823)</f>
        <v>0.68095286572330249</v>
      </c>
    </row>
    <row r="36" spans="1:16" s="2" customFormat="1" ht="15.75" thickBot="1">
      <c r="A36" s="7" t="s">
        <v>59</v>
      </c>
      <c r="B36" s="42" t="s">
        <v>18</v>
      </c>
      <c r="C36" s="9">
        <v>1019</v>
      </c>
      <c r="D36" s="76"/>
      <c r="E36" s="76"/>
      <c r="F36" s="76"/>
      <c r="G36" s="76"/>
      <c r="H36" s="76"/>
      <c r="I36" s="76"/>
      <c r="J36" s="76"/>
      <c r="K36" s="76"/>
      <c r="L36" s="75" t="s">
        <v>4</v>
      </c>
      <c r="M36" s="5"/>
      <c r="N36" s="6" t="s">
        <v>5</v>
      </c>
      <c r="O36" s="6" t="s">
        <v>6</v>
      </c>
      <c r="P36" s="6" t="s">
        <v>7</v>
      </c>
    </row>
    <row r="37" spans="1:16" s="2" customFormat="1" ht="15.75" thickBot="1">
      <c r="A37" s="7" t="s">
        <v>308</v>
      </c>
      <c r="B37" s="20" t="s">
        <v>3</v>
      </c>
      <c r="C37" s="9">
        <v>948</v>
      </c>
      <c r="D37" s="76"/>
      <c r="E37" s="76"/>
      <c r="F37" s="76"/>
      <c r="G37" s="76"/>
      <c r="H37" s="76"/>
      <c r="I37" s="76"/>
      <c r="J37" s="76"/>
      <c r="K37" s="76"/>
      <c r="L37" s="75" t="s">
        <v>9</v>
      </c>
      <c r="M37" s="13" t="s">
        <v>8</v>
      </c>
      <c r="N37" s="14">
        <f>(C38+C39+C41+C44+C45)</f>
        <v>2797</v>
      </c>
      <c r="O37" s="15">
        <f>SUM(N37/N42)</f>
        <v>0.42398059724117021</v>
      </c>
      <c r="P37" s="5">
        <v>3</v>
      </c>
    </row>
    <row r="38" spans="1:16" s="2" customFormat="1" ht="15.75" thickBot="1">
      <c r="A38" s="7" t="s">
        <v>62</v>
      </c>
      <c r="B38" s="8" t="s">
        <v>8</v>
      </c>
      <c r="C38" s="76">
        <v>822</v>
      </c>
      <c r="D38" s="9">
        <v>853</v>
      </c>
      <c r="E38" s="76"/>
      <c r="F38" s="76"/>
      <c r="G38" s="76"/>
      <c r="H38" s="76"/>
      <c r="I38" s="76"/>
      <c r="J38" s="76"/>
      <c r="K38" s="76"/>
      <c r="L38" s="75" t="s">
        <v>12</v>
      </c>
      <c r="M38" s="16" t="s">
        <v>3</v>
      </c>
      <c r="N38" s="14">
        <f>(C37+C40+C46)</f>
        <v>1829</v>
      </c>
      <c r="O38" s="15">
        <f>SUM(N38/N42)</f>
        <v>0.27724723359102621</v>
      </c>
      <c r="P38" s="5">
        <v>2</v>
      </c>
    </row>
    <row r="39" spans="1:16" s="2" customFormat="1" ht="15.75" thickBot="1">
      <c r="A39" s="7" t="s">
        <v>66</v>
      </c>
      <c r="B39" s="8" t="s">
        <v>8</v>
      </c>
      <c r="C39" s="76">
        <v>746</v>
      </c>
      <c r="D39" s="76">
        <v>759</v>
      </c>
      <c r="E39" s="76">
        <v>764</v>
      </c>
      <c r="F39" s="76">
        <v>770</v>
      </c>
      <c r="G39" s="76">
        <v>781</v>
      </c>
      <c r="H39" s="76">
        <v>783</v>
      </c>
      <c r="I39" s="76">
        <v>783</v>
      </c>
      <c r="J39" s="9">
        <v>825</v>
      </c>
      <c r="K39" s="76"/>
      <c r="L39" s="75" t="s">
        <v>15</v>
      </c>
      <c r="M39" s="19" t="s">
        <v>11</v>
      </c>
      <c r="N39" s="38">
        <v>343</v>
      </c>
      <c r="O39" s="39">
        <f>SUM(N39/N42)</f>
        <v>5.1993330301652263E-2</v>
      </c>
    </row>
    <row r="40" spans="1:16" s="2" customFormat="1" ht="15.75" thickBot="1">
      <c r="A40" s="7" t="s">
        <v>309</v>
      </c>
      <c r="B40" s="20" t="s">
        <v>3</v>
      </c>
      <c r="C40" s="76">
        <v>634</v>
      </c>
      <c r="D40" s="76">
        <v>649</v>
      </c>
      <c r="E40" s="76">
        <v>698</v>
      </c>
      <c r="F40" s="76">
        <v>727</v>
      </c>
      <c r="G40" s="9">
        <v>842</v>
      </c>
      <c r="H40" s="76"/>
      <c r="I40" s="76"/>
      <c r="J40" s="76"/>
      <c r="K40" s="76"/>
      <c r="L40" s="11" t="s">
        <v>10</v>
      </c>
      <c r="M40" s="79" t="s">
        <v>26</v>
      </c>
      <c r="N40" s="14">
        <v>172</v>
      </c>
      <c r="O40" s="15">
        <f>SUM(N40/N42)</f>
        <v>2.6072457177504928E-2</v>
      </c>
      <c r="P40" s="5"/>
    </row>
    <row r="41" spans="1:16" s="2" customFormat="1" ht="15.75" thickBot="1">
      <c r="A41" s="7" t="s">
        <v>103</v>
      </c>
      <c r="B41" s="8" t="s">
        <v>8</v>
      </c>
      <c r="C41" s="76">
        <v>608</v>
      </c>
      <c r="D41" s="76">
        <v>628</v>
      </c>
      <c r="E41" s="76">
        <v>647</v>
      </c>
      <c r="F41" s="76">
        <v>680</v>
      </c>
      <c r="G41" s="76">
        <v>682</v>
      </c>
      <c r="H41" s="76">
        <v>682</v>
      </c>
      <c r="I41" s="76">
        <v>682</v>
      </c>
      <c r="J41" s="76">
        <v>819</v>
      </c>
      <c r="K41" s="9">
        <v>970</v>
      </c>
      <c r="L41" s="75" t="s">
        <v>14</v>
      </c>
      <c r="M41" s="6" t="s">
        <v>17</v>
      </c>
      <c r="N41" s="38">
        <f>(C36+C42)</f>
        <v>1456</v>
      </c>
      <c r="O41" s="39">
        <f>SUM(N41/N42)</f>
        <v>0.22070638168864634</v>
      </c>
      <c r="P41" s="2">
        <v>2</v>
      </c>
    </row>
    <row r="42" spans="1:16" s="2" customFormat="1" ht="15.75" thickBot="1">
      <c r="A42" s="7" t="s">
        <v>315</v>
      </c>
      <c r="B42" s="42" t="s">
        <v>18</v>
      </c>
      <c r="C42" s="76">
        <v>437</v>
      </c>
      <c r="D42" s="76">
        <v>517</v>
      </c>
      <c r="E42" s="76">
        <v>536</v>
      </c>
      <c r="F42" s="76">
        <v>581</v>
      </c>
      <c r="G42" s="76">
        <v>612</v>
      </c>
      <c r="H42" s="76">
        <v>612</v>
      </c>
      <c r="I42" s="76">
        <v>624</v>
      </c>
      <c r="J42" s="76">
        <v>654</v>
      </c>
      <c r="K42" s="9">
        <v>702</v>
      </c>
      <c r="L42" s="75" t="s">
        <v>57</v>
      </c>
      <c r="N42" s="22">
        <v>6597</v>
      </c>
    </row>
    <row r="43" spans="1:16" s="2" customFormat="1" ht="15.75" thickBot="1">
      <c r="A43" s="17" t="s">
        <v>314</v>
      </c>
      <c r="B43" s="18" t="s">
        <v>11</v>
      </c>
      <c r="C43" s="76">
        <v>343</v>
      </c>
      <c r="D43" s="76">
        <v>345</v>
      </c>
      <c r="E43" s="76">
        <v>348</v>
      </c>
      <c r="F43" s="76">
        <v>374</v>
      </c>
      <c r="G43" s="76">
        <v>430</v>
      </c>
      <c r="H43" s="76">
        <v>432</v>
      </c>
      <c r="I43" s="76">
        <v>437</v>
      </c>
      <c r="J43" s="76">
        <v>452</v>
      </c>
      <c r="K43" s="76">
        <v>487</v>
      </c>
      <c r="L43" s="75"/>
    </row>
    <row r="44" spans="1:16" s="2" customFormat="1" ht="15.75" thickBot="1">
      <c r="A44" s="17" t="s">
        <v>312</v>
      </c>
      <c r="B44" s="23" t="s">
        <v>8</v>
      </c>
      <c r="C44" s="76">
        <v>321</v>
      </c>
      <c r="D44" s="76">
        <v>326</v>
      </c>
      <c r="E44" s="76">
        <v>330</v>
      </c>
      <c r="F44" s="76">
        <v>332</v>
      </c>
      <c r="G44" s="76">
        <v>343</v>
      </c>
      <c r="H44" s="76">
        <v>344</v>
      </c>
      <c r="I44" s="76">
        <v>344</v>
      </c>
      <c r="J44" s="76">
        <v>377</v>
      </c>
      <c r="K44" s="76" t="s">
        <v>16</v>
      </c>
    </row>
    <row r="45" spans="1:16" s="2" customFormat="1" ht="15.75" thickBot="1">
      <c r="A45" s="17" t="s">
        <v>313</v>
      </c>
      <c r="B45" s="23" t="s">
        <v>8</v>
      </c>
      <c r="C45" s="76">
        <v>300</v>
      </c>
      <c r="D45" s="76">
        <v>311</v>
      </c>
      <c r="E45" s="76">
        <v>316</v>
      </c>
      <c r="F45" s="76">
        <v>325</v>
      </c>
      <c r="G45" s="76">
        <v>327</v>
      </c>
      <c r="H45" s="76">
        <v>328</v>
      </c>
      <c r="I45" s="76">
        <v>328</v>
      </c>
      <c r="J45" s="76" t="s">
        <v>16</v>
      </c>
    </row>
    <row r="46" spans="1:16" s="2" customFormat="1" ht="15.75" thickBot="1">
      <c r="A46" s="17" t="s">
        <v>311</v>
      </c>
      <c r="B46" s="25" t="s">
        <v>3</v>
      </c>
      <c r="C46" s="80">
        <v>247</v>
      </c>
      <c r="D46" s="76">
        <v>259</v>
      </c>
      <c r="E46" s="76">
        <v>267</v>
      </c>
      <c r="F46" s="76">
        <v>282</v>
      </c>
      <c r="G46" s="76" t="s">
        <v>16</v>
      </c>
    </row>
    <row r="47" spans="1:16" s="2" customFormat="1" ht="15.75" thickBot="1">
      <c r="A47" s="17" t="s">
        <v>310</v>
      </c>
      <c r="B47" s="77" t="s">
        <v>26</v>
      </c>
      <c r="C47" s="76">
        <v>172</v>
      </c>
      <c r="D47" s="76">
        <v>177</v>
      </c>
      <c r="E47" s="76">
        <v>188</v>
      </c>
      <c r="F47" s="76" t="s">
        <v>16</v>
      </c>
    </row>
    <row r="48" spans="1:16" s="2" customFormat="1" ht="14.25">
      <c r="C48" s="38"/>
    </row>
    <row r="49" spans="1:17" s="2" customFormat="1" ht="14.25">
      <c r="A49" s="1" t="s">
        <v>316</v>
      </c>
    </row>
    <row r="50" spans="1:17" s="2" customFormat="1" ht="9.75" customHeight="1" thickBot="1">
      <c r="A50" s="1"/>
    </row>
    <row r="51" spans="1:17" s="2" customFormat="1" ht="15.75" thickBot="1">
      <c r="A51" s="3" t="s">
        <v>0</v>
      </c>
      <c r="B51" s="4" t="s">
        <v>1</v>
      </c>
      <c r="C51" s="4" t="s">
        <v>2</v>
      </c>
      <c r="D51" s="4">
        <v>2</v>
      </c>
      <c r="E51" s="4">
        <v>3</v>
      </c>
      <c r="F51" s="4">
        <v>4</v>
      </c>
      <c r="G51" s="4">
        <v>5</v>
      </c>
      <c r="H51" s="4">
        <v>6</v>
      </c>
      <c r="I51" s="4">
        <v>7</v>
      </c>
      <c r="J51" s="4">
        <v>8</v>
      </c>
      <c r="K51" s="4">
        <v>9</v>
      </c>
      <c r="L51" s="4">
        <v>10</v>
      </c>
      <c r="M51" s="4"/>
      <c r="N51" s="6" t="s">
        <v>289</v>
      </c>
      <c r="O51" s="39">
        <f>(6067/8810)</f>
        <v>0.68864926220204314</v>
      </c>
    </row>
    <row r="52" spans="1:17" s="2" customFormat="1" ht="15.75" thickBot="1">
      <c r="A52" s="7" t="s">
        <v>243</v>
      </c>
      <c r="B52" s="84" t="s">
        <v>26</v>
      </c>
      <c r="C52" s="76">
        <v>755</v>
      </c>
      <c r="D52" s="76">
        <v>769</v>
      </c>
      <c r="E52" s="76">
        <v>810</v>
      </c>
      <c r="F52" s="76">
        <v>822</v>
      </c>
      <c r="G52" s="76">
        <v>823</v>
      </c>
      <c r="H52" s="76">
        <v>831</v>
      </c>
      <c r="I52" s="9">
        <v>940</v>
      </c>
      <c r="J52" s="76"/>
      <c r="K52" s="76"/>
      <c r="L52" s="76"/>
      <c r="M52" s="11" t="s">
        <v>9</v>
      </c>
      <c r="N52" s="5"/>
      <c r="O52" s="6" t="s">
        <v>5</v>
      </c>
      <c r="P52" s="6" t="s">
        <v>6</v>
      </c>
      <c r="Q52" s="6" t="s">
        <v>7</v>
      </c>
    </row>
    <row r="53" spans="1:17" s="2" customFormat="1" ht="15.75" thickBot="1">
      <c r="A53" s="7" t="s">
        <v>243</v>
      </c>
      <c r="B53" s="20" t="s">
        <v>3</v>
      </c>
      <c r="C53" s="76">
        <v>711</v>
      </c>
      <c r="D53" s="76">
        <v>718</v>
      </c>
      <c r="E53" s="76">
        <v>774</v>
      </c>
      <c r="F53" s="9">
        <v>877</v>
      </c>
      <c r="G53" s="76"/>
      <c r="H53" s="76"/>
      <c r="I53" s="76"/>
      <c r="J53" s="76"/>
      <c r="K53" s="76"/>
      <c r="L53" s="76"/>
      <c r="M53" s="11" t="s">
        <v>4</v>
      </c>
      <c r="N53" s="13" t="s">
        <v>8</v>
      </c>
      <c r="O53" s="14">
        <f>(C55+C56+C58+C59+C60+C62)</f>
        <v>2622</v>
      </c>
      <c r="P53" s="15">
        <f>SUM(O53/O57)</f>
        <v>0.44022834116856951</v>
      </c>
      <c r="Q53" s="5">
        <v>3</v>
      </c>
    </row>
    <row r="54" spans="1:17" s="2" customFormat="1" ht="15.75" thickBot="1">
      <c r="A54" s="7" t="s">
        <v>101</v>
      </c>
      <c r="B54" s="42" t="s">
        <v>18</v>
      </c>
      <c r="C54" s="76">
        <v>588</v>
      </c>
      <c r="D54" s="76">
        <v>603</v>
      </c>
      <c r="E54" s="76">
        <v>619</v>
      </c>
      <c r="F54" s="76">
        <v>622</v>
      </c>
      <c r="G54" s="76">
        <v>623</v>
      </c>
      <c r="H54" s="76">
        <v>722</v>
      </c>
      <c r="I54" s="76">
        <v>736</v>
      </c>
      <c r="J54" s="76">
        <v>740</v>
      </c>
      <c r="K54" s="76">
        <v>745</v>
      </c>
      <c r="L54" s="9">
        <v>753</v>
      </c>
      <c r="M54" s="11" t="s">
        <v>15</v>
      </c>
      <c r="N54" s="16" t="s">
        <v>3</v>
      </c>
      <c r="O54" s="14">
        <f>(C53+C61+C63+C57)</f>
        <v>1750</v>
      </c>
      <c r="P54" s="15">
        <f>SUM(O54/O57)</f>
        <v>0.293821356615178</v>
      </c>
      <c r="Q54" s="5">
        <v>1</v>
      </c>
    </row>
    <row r="55" spans="1:17" s="2" customFormat="1" ht="15.75" thickBot="1">
      <c r="A55" s="7" t="s">
        <v>78</v>
      </c>
      <c r="B55" s="8" t="s">
        <v>8</v>
      </c>
      <c r="C55" s="76">
        <v>536</v>
      </c>
      <c r="D55" s="76">
        <v>537</v>
      </c>
      <c r="E55" s="76">
        <v>549</v>
      </c>
      <c r="F55" s="76">
        <v>623</v>
      </c>
      <c r="G55" s="76">
        <v>632</v>
      </c>
      <c r="H55" s="76">
        <v>640</v>
      </c>
      <c r="I55" s="76">
        <v>737</v>
      </c>
      <c r="J55" s="76">
        <v>755</v>
      </c>
      <c r="K55" s="9">
        <v>1039</v>
      </c>
      <c r="L55" s="76"/>
      <c r="M55" s="11" t="s">
        <v>12</v>
      </c>
      <c r="N55" s="79" t="s">
        <v>26</v>
      </c>
      <c r="O55" s="14">
        <f>(C52+C64)</f>
        <v>878</v>
      </c>
      <c r="P55" s="15">
        <f>SUM(O55/O57)</f>
        <v>0.14741437206178643</v>
      </c>
      <c r="Q55" s="5">
        <v>1</v>
      </c>
    </row>
    <row r="56" spans="1:17" s="2" customFormat="1" ht="15.75" thickBot="1">
      <c r="A56" s="7" t="s">
        <v>95</v>
      </c>
      <c r="B56" s="8" t="s">
        <v>8</v>
      </c>
      <c r="C56" s="76">
        <v>529</v>
      </c>
      <c r="D56" s="76">
        <v>545</v>
      </c>
      <c r="E56" s="76">
        <v>549</v>
      </c>
      <c r="F56" s="76">
        <v>654</v>
      </c>
      <c r="G56" s="76">
        <v>663</v>
      </c>
      <c r="H56" s="76">
        <v>671</v>
      </c>
      <c r="I56" s="76">
        <v>672</v>
      </c>
      <c r="J56" s="76">
        <v>674</v>
      </c>
      <c r="K56" s="76">
        <v>705</v>
      </c>
      <c r="L56" s="9">
        <v>737</v>
      </c>
      <c r="M56" s="11" t="s">
        <v>14</v>
      </c>
      <c r="N56" s="26" t="s">
        <v>17</v>
      </c>
      <c r="O56" s="14">
        <f>(C54+C65)</f>
        <v>706</v>
      </c>
      <c r="P56" s="15">
        <f>SUM(O56/O57)</f>
        <v>0.11853593015446609</v>
      </c>
      <c r="Q56" s="5">
        <v>1</v>
      </c>
    </row>
    <row r="57" spans="1:17" s="2" customFormat="1" ht="15.75" thickBot="1">
      <c r="A57" s="17" t="s">
        <v>318</v>
      </c>
      <c r="B57" s="25" t="s">
        <v>3</v>
      </c>
      <c r="C57" s="76">
        <v>478</v>
      </c>
      <c r="D57" s="76">
        <v>484</v>
      </c>
      <c r="E57" s="76">
        <v>522</v>
      </c>
      <c r="F57" s="76">
        <v>524</v>
      </c>
      <c r="G57" s="76">
        <v>524</v>
      </c>
      <c r="H57" s="76">
        <v>552</v>
      </c>
      <c r="I57" s="76">
        <v>627</v>
      </c>
      <c r="J57" s="76">
        <v>634</v>
      </c>
      <c r="K57" s="76">
        <v>643</v>
      </c>
      <c r="L57" s="76">
        <v>648</v>
      </c>
      <c r="M57" s="11"/>
      <c r="O57" s="22">
        <v>5956</v>
      </c>
    </row>
    <row r="58" spans="1:17" s="2" customFormat="1" ht="15.75" thickBot="1">
      <c r="A58" s="7" t="s">
        <v>100</v>
      </c>
      <c r="B58" s="8" t="s">
        <v>8</v>
      </c>
      <c r="C58" s="80">
        <v>437</v>
      </c>
      <c r="D58" s="76">
        <v>441</v>
      </c>
      <c r="E58" s="76">
        <v>450</v>
      </c>
      <c r="F58" s="76">
        <v>464</v>
      </c>
      <c r="G58" s="76">
        <v>466</v>
      </c>
      <c r="H58" s="76">
        <v>670</v>
      </c>
      <c r="I58" s="76">
        <v>682</v>
      </c>
      <c r="J58" s="76">
        <v>702</v>
      </c>
      <c r="K58" s="76">
        <v>772</v>
      </c>
      <c r="L58" s="9">
        <v>875</v>
      </c>
      <c r="M58" s="11" t="s">
        <v>10</v>
      </c>
    </row>
    <row r="59" spans="1:17" s="2" customFormat="1" ht="15.75" thickBot="1">
      <c r="A59" s="17" t="s">
        <v>323</v>
      </c>
      <c r="B59" s="23" t="s">
        <v>8</v>
      </c>
      <c r="C59" s="76">
        <v>390</v>
      </c>
      <c r="D59" s="76">
        <v>393</v>
      </c>
      <c r="E59" s="76">
        <v>450</v>
      </c>
      <c r="F59" s="76">
        <v>467</v>
      </c>
      <c r="G59" s="76">
        <v>468</v>
      </c>
      <c r="H59" s="76">
        <v>489</v>
      </c>
      <c r="I59" s="76">
        <v>528</v>
      </c>
      <c r="J59" s="76">
        <v>547</v>
      </c>
      <c r="K59" s="76" t="s">
        <v>16</v>
      </c>
    </row>
    <row r="60" spans="1:17" s="2" customFormat="1" ht="15.75" thickBot="1">
      <c r="A60" s="17" t="s">
        <v>317</v>
      </c>
      <c r="B60" s="23" t="s">
        <v>8</v>
      </c>
      <c r="C60" s="76">
        <v>379</v>
      </c>
      <c r="D60" s="76">
        <v>405</v>
      </c>
      <c r="E60" s="76">
        <v>415</v>
      </c>
      <c r="F60" s="76">
        <v>415</v>
      </c>
      <c r="G60" s="76">
        <v>415</v>
      </c>
      <c r="H60" s="76" t="s">
        <v>16</v>
      </c>
      <c r="N60" s="19"/>
      <c r="O60" s="14"/>
      <c r="P60" s="15"/>
      <c r="Q60" s="5"/>
    </row>
    <row r="61" spans="1:17" s="2" customFormat="1" ht="15.75" thickBot="1">
      <c r="A61" s="17" t="s">
        <v>319</v>
      </c>
      <c r="B61" s="25" t="s">
        <v>3</v>
      </c>
      <c r="C61" s="76">
        <v>356</v>
      </c>
      <c r="D61" s="76">
        <v>358</v>
      </c>
      <c r="E61" s="76">
        <v>414</v>
      </c>
      <c r="F61" s="76">
        <v>422</v>
      </c>
      <c r="G61" s="76">
        <v>425</v>
      </c>
      <c r="H61" s="76">
        <v>428</v>
      </c>
      <c r="I61" s="76" t="s">
        <v>16</v>
      </c>
      <c r="L61" s="21"/>
      <c r="M61" s="14"/>
      <c r="N61" s="15"/>
      <c r="O61" s="5"/>
    </row>
    <row r="62" spans="1:17" s="2" customFormat="1" ht="15.75" thickBot="1">
      <c r="A62" s="17" t="s">
        <v>322</v>
      </c>
      <c r="B62" s="23" t="s">
        <v>8</v>
      </c>
      <c r="C62" s="76">
        <v>351</v>
      </c>
      <c r="D62" s="76">
        <v>358</v>
      </c>
      <c r="E62" s="76">
        <v>366</v>
      </c>
      <c r="F62" s="76" t="s">
        <v>16</v>
      </c>
      <c r="M62" s="22"/>
    </row>
    <row r="63" spans="1:17" s="2" customFormat="1" ht="15.75" thickBot="1">
      <c r="A63" s="17" t="s">
        <v>320</v>
      </c>
      <c r="B63" s="25" t="s">
        <v>3</v>
      </c>
      <c r="C63" s="76">
        <v>205</v>
      </c>
      <c r="D63" s="76">
        <v>206</v>
      </c>
      <c r="E63" s="76" t="s">
        <v>16</v>
      </c>
      <c r="M63" s="22"/>
    </row>
    <row r="64" spans="1:17" s="2" customFormat="1" ht="15.75" thickBot="1">
      <c r="A64" s="17" t="s">
        <v>324</v>
      </c>
      <c r="B64" s="77" t="s">
        <v>26</v>
      </c>
      <c r="C64" s="76">
        <v>123</v>
      </c>
      <c r="D64" s="76">
        <v>141</v>
      </c>
      <c r="E64" s="76" t="s">
        <v>16</v>
      </c>
      <c r="M64" s="22"/>
    </row>
    <row r="65" spans="1:13" s="2" customFormat="1" ht="15.75" thickBot="1">
      <c r="A65" s="17" t="s">
        <v>321</v>
      </c>
      <c r="B65" s="41" t="s">
        <v>18</v>
      </c>
      <c r="C65" s="76">
        <v>118</v>
      </c>
      <c r="D65" s="76" t="s">
        <v>16</v>
      </c>
      <c r="M65" s="22"/>
    </row>
    <row r="66" spans="1:13" s="2" customFormat="1" ht="15">
      <c r="A66" s="40"/>
      <c r="C66" s="38"/>
    </row>
    <row r="67" spans="1:13">
      <c r="A67" s="27"/>
      <c r="B67" s="27" t="s">
        <v>19</v>
      </c>
      <c r="C67" s="28" t="s">
        <v>8</v>
      </c>
      <c r="D67" s="29" t="s">
        <v>3</v>
      </c>
      <c r="E67" s="31" t="s">
        <v>11</v>
      </c>
      <c r="F67" s="83" t="s">
        <v>26</v>
      </c>
      <c r="G67" s="27" t="s">
        <v>17</v>
      </c>
    </row>
    <row r="68" spans="1:13" ht="14.25">
      <c r="A68" s="32" t="s">
        <v>5</v>
      </c>
      <c r="B68" s="33">
        <f>SUM(O57+N42+N26+M10)</f>
        <v>24695</v>
      </c>
      <c r="C68" s="34">
        <f>SUM(O53+N37+N21+M5)</f>
        <v>9847</v>
      </c>
      <c r="D68" s="34">
        <f>SUM(O54+N38+N22+M6)</f>
        <v>6734</v>
      </c>
      <c r="E68" s="34">
        <f>(M7+N23+N39)</f>
        <v>1592</v>
      </c>
      <c r="F68" s="34">
        <f>SUM(O55+N24+N40+M8)</f>
        <v>3316</v>
      </c>
      <c r="G68" s="34">
        <f>SUM(N41+N25+O56+M9)</f>
        <v>3206</v>
      </c>
    </row>
    <row r="69" spans="1:13" ht="14.25">
      <c r="A69" s="32" t="s">
        <v>6</v>
      </c>
      <c r="B69" s="35">
        <v>1</v>
      </c>
      <c r="C69" s="36">
        <f>SUM(C68/$B$68)</f>
        <v>0.39874468515893907</v>
      </c>
      <c r="D69" s="36">
        <f>SUM(D68/$B$68)</f>
        <v>0.27268677870014174</v>
      </c>
      <c r="E69" s="36">
        <f>SUM(E68/$B$68)</f>
        <v>6.4466491192549102E-2</v>
      </c>
      <c r="F69" s="36">
        <f>SUM(F68/$B$68)</f>
        <v>0.13427819396638996</v>
      </c>
      <c r="G69" s="36">
        <f>SUM(G68/$B$68)</f>
        <v>0.12982385098198015</v>
      </c>
    </row>
    <row r="70" spans="1:13" ht="14.25">
      <c r="A70" s="32" t="s">
        <v>7</v>
      </c>
      <c r="B70" s="27">
        <v>25</v>
      </c>
      <c r="C70">
        <v>11</v>
      </c>
      <c r="D70">
        <v>7</v>
      </c>
      <c r="E70">
        <v>1</v>
      </c>
      <c r="F70">
        <v>2</v>
      </c>
      <c r="G70">
        <v>4</v>
      </c>
    </row>
  </sheetData>
  <sortState ref="A52:C65">
    <sortCondition descending="1" ref="C52:C65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63"/>
  <sheetViews>
    <sheetView workbookViewId="0">
      <selection activeCell="O1" sqref="O1"/>
    </sheetView>
  </sheetViews>
  <sheetFormatPr defaultRowHeight="12.75"/>
  <cols>
    <col min="1" max="1" width="20.28515625" customWidth="1"/>
    <col min="6" max="6" width="9" customWidth="1"/>
  </cols>
  <sheetData>
    <row r="1" spans="1:14" s="2" customFormat="1" ht="14.25">
      <c r="A1" s="1" t="s">
        <v>329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(5429/6900)</f>
        <v>0.78681159420289859</v>
      </c>
    </row>
    <row r="4" spans="1:14" s="2" customFormat="1" ht="15.75" thickBot="1">
      <c r="A4" s="7" t="s">
        <v>29</v>
      </c>
      <c r="B4" s="8" t="s">
        <v>8</v>
      </c>
      <c r="C4" s="9">
        <v>1017</v>
      </c>
      <c r="D4" s="10"/>
      <c r="E4" s="10"/>
      <c r="F4" s="10"/>
      <c r="G4" s="76"/>
      <c r="H4" s="10"/>
      <c r="I4" s="10"/>
      <c r="J4" s="75" t="s">
        <v>4</v>
      </c>
      <c r="K4" s="5"/>
      <c r="L4" s="6" t="s">
        <v>5</v>
      </c>
      <c r="M4" s="6" t="s">
        <v>6</v>
      </c>
      <c r="N4" s="6" t="s">
        <v>7</v>
      </c>
    </row>
    <row r="5" spans="1:14" s="2" customFormat="1" ht="15.75" thickBot="1">
      <c r="A5" s="7" t="s">
        <v>106</v>
      </c>
      <c r="B5" s="8" t="s">
        <v>8</v>
      </c>
      <c r="C5" s="10">
        <v>814</v>
      </c>
      <c r="D5" s="10">
        <v>872</v>
      </c>
      <c r="E5" s="11">
        <v>893</v>
      </c>
      <c r="F5" s="10"/>
      <c r="G5" s="10"/>
      <c r="H5" s="11"/>
      <c r="I5" s="10"/>
      <c r="J5" s="75" t="s">
        <v>9</v>
      </c>
      <c r="K5" s="13" t="s">
        <v>8</v>
      </c>
      <c r="L5" s="14">
        <f>SUM(C4+C5+C8+C10+C12)</f>
        <v>2987</v>
      </c>
      <c r="M5" s="15">
        <f>SUM(L5/L9)</f>
        <v>0.55758820235206275</v>
      </c>
      <c r="N5" s="5">
        <v>3</v>
      </c>
    </row>
    <row r="6" spans="1:14" s="2" customFormat="1" ht="15.75" thickBot="1">
      <c r="A6" s="7" t="s">
        <v>83</v>
      </c>
      <c r="B6" s="20" t="s">
        <v>3</v>
      </c>
      <c r="C6" s="10">
        <v>711</v>
      </c>
      <c r="D6" s="10">
        <v>724</v>
      </c>
      <c r="E6" s="10">
        <v>763</v>
      </c>
      <c r="F6" s="10">
        <v>768</v>
      </c>
      <c r="G6" s="10">
        <v>811</v>
      </c>
      <c r="H6" s="11">
        <v>967</v>
      </c>
      <c r="I6" s="11"/>
      <c r="J6" s="75" t="s">
        <v>10</v>
      </c>
      <c r="K6" s="16" t="s">
        <v>3</v>
      </c>
      <c r="L6" s="14">
        <f>SUM(C6+C7+C9)</f>
        <v>1792</v>
      </c>
      <c r="M6" s="15">
        <f>SUM(L6/L9)</f>
        <v>0.33451558708232221</v>
      </c>
      <c r="N6" s="5">
        <v>2</v>
      </c>
    </row>
    <row r="7" spans="1:14" s="2" customFormat="1" ht="15.75" thickBot="1">
      <c r="A7" s="7" t="s">
        <v>32</v>
      </c>
      <c r="B7" s="20" t="s">
        <v>3</v>
      </c>
      <c r="C7" s="10">
        <v>706</v>
      </c>
      <c r="D7" s="10">
        <v>713</v>
      </c>
      <c r="E7" s="10">
        <v>778</v>
      </c>
      <c r="F7" s="10">
        <v>789</v>
      </c>
      <c r="G7" s="11">
        <v>912</v>
      </c>
      <c r="H7" s="10"/>
      <c r="I7" s="10"/>
      <c r="J7" s="75" t="s">
        <v>12</v>
      </c>
      <c r="K7" s="19" t="s">
        <v>11</v>
      </c>
      <c r="L7" s="38">
        <v>302</v>
      </c>
      <c r="M7" s="39">
        <f>SUM(L7/L9)</f>
        <v>5.6374836662310995E-2</v>
      </c>
    </row>
    <row r="8" spans="1:14" s="2" customFormat="1" ht="15.75" thickBot="1">
      <c r="A8" s="17" t="s">
        <v>84</v>
      </c>
      <c r="B8" s="23" t="s">
        <v>8</v>
      </c>
      <c r="C8" s="10">
        <v>545</v>
      </c>
      <c r="D8" s="10">
        <v>563</v>
      </c>
      <c r="E8" s="10">
        <v>593</v>
      </c>
      <c r="F8" s="10">
        <v>601</v>
      </c>
      <c r="G8" s="10">
        <v>651</v>
      </c>
      <c r="H8" s="10">
        <v>670</v>
      </c>
      <c r="I8" s="10">
        <v>684</v>
      </c>
      <c r="J8" s="75"/>
      <c r="K8" s="26" t="s">
        <v>17</v>
      </c>
      <c r="L8" s="38">
        <v>276</v>
      </c>
      <c r="M8" s="39">
        <f>SUM(L8/L9)</f>
        <v>5.1521373903304087E-2</v>
      </c>
    </row>
    <row r="9" spans="1:14" s="2" customFormat="1" ht="15.75" thickBot="1">
      <c r="A9" s="17" t="s">
        <v>39</v>
      </c>
      <c r="B9" s="25" t="s">
        <v>3</v>
      </c>
      <c r="C9" s="10">
        <v>375</v>
      </c>
      <c r="D9" s="10">
        <v>376</v>
      </c>
      <c r="E9" s="10">
        <v>382</v>
      </c>
      <c r="F9" s="10">
        <v>467</v>
      </c>
      <c r="G9" s="10">
        <v>507</v>
      </c>
      <c r="H9" s="10" t="s">
        <v>16</v>
      </c>
      <c r="L9" s="22">
        <v>5357</v>
      </c>
    </row>
    <row r="10" spans="1:14" s="2" customFormat="1" ht="15.75" thickBot="1">
      <c r="A10" s="7" t="s">
        <v>85</v>
      </c>
      <c r="B10" s="8" t="s">
        <v>8</v>
      </c>
      <c r="C10" s="10">
        <v>320</v>
      </c>
      <c r="D10" s="10">
        <v>325</v>
      </c>
      <c r="E10" s="10">
        <v>341</v>
      </c>
      <c r="F10" s="10">
        <v>477</v>
      </c>
      <c r="G10" s="10">
        <v>547</v>
      </c>
      <c r="H10" s="10">
        <v>717</v>
      </c>
      <c r="I10" s="11">
        <v>736</v>
      </c>
      <c r="J10" s="75" t="s">
        <v>15</v>
      </c>
    </row>
    <row r="11" spans="1:14" s="2" customFormat="1" ht="15.75" thickBot="1">
      <c r="A11" s="17" t="s">
        <v>86</v>
      </c>
      <c r="B11" s="18" t="s">
        <v>11</v>
      </c>
      <c r="C11" s="10">
        <v>302</v>
      </c>
      <c r="D11" s="10">
        <v>308</v>
      </c>
      <c r="E11" s="10">
        <v>394</v>
      </c>
      <c r="F11" s="10">
        <v>415</v>
      </c>
      <c r="G11" s="10" t="s">
        <v>16</v>
      </c>
      <c r="J11" s="19"/>
      <c r="K11" s="38"/>
      <c r="L11" s="39"/>
    </row>
    <row r="12" spans="1:14" s="2" customFormat="1" ht="15.75" thickBot="1">
      <c r="A12" s="17" t="s">
        <v>87</v>
      </c>
      <c r="B12" s="23" t="s">
        <v>8</v>
      </c>
      <c r="C12" s="10">
        <v>291</v>
      </c>
      <c r="D12" s="10">
        <v>294</v>
      </c>
      <c r="E12" s="10">
        <v>296</v>
      </c>
      <c r="F12" s="10" t="s">
        <v>16</v>
      </c>
      <c r="K12" s="22"/>
    </row>
    <row r="13" spans="1:14" s="2" customFormat="1" ht="15.75" thickBot="1">
      <c r="A13" s="17" t="s">
        <v>88</v>
      </c>
      <c r="B13" s="41" t="s">
        <v>18</v>
      </c>
      <c r="C13" s="10">
        <v>276</v>
      </c>
      <c r="D13" s="10">
        <v>289</v>
      </c>
      <c r="E13" s="10" t="s">
        <v>16</v>
      </c>
    </row>
    <row r="14" spans="1:14" s="2" customFormat="1" ht="14.25"/>
    <row r="15" spans="1:14" s="2" customFormat="1" ht="14.25">
      <c r="A15" s="1" t="s">
        <v>326</v>
      </c>
    </row>
    <row r="16" spans="1:14" s="2" customFormat="1" ht="9.75" customHeight="1" thickBot="1">
      <c r="A16" s="1"/>
    </row>
    <row r="17" spans="1:16" s="2" customFormat="1" ht="15.75" thickBot="1">
      <c r="A17" s="3" t="s">
        <v>0</v>
      </c>
      <c r="B17" s="4" t="s">
        <v>1</v>
      </c>
      <c r="C17" s="4" t="s">
        <v>2</v>
      </c>
      <c r="D17" s="4">
        <v>2</v>
      </c>
      <c r="E17" s="4">
        <v>3</v>
      </c>
      <c r="F17" s="4">
        <v>4</v>
      </c>
      <c r="G17" s="4">
        <v>5</v>
      </c>
      <c r="H17" s="4">
        <v>6</v>
      </c>
      <c r="I17" s="4">
        <v>7</v>
      </c>
      <c r="J17" s="4">
        <v>8</v>
      </c>
      <c r="K17" s="4">
        <v>9</v>
      </c>
      <c r="L17" s="4"/>
      <c r="M17" s="6" t="s">
        <v>289</v>
      </c>
      <c r="N17" s="39">
        <f>(7757/10188)</f>
        <v>0.7613859442481351</v>
      </c>
    </row>
    <row r="18" spans="1:16" s="2" customFormat="1" ht="15.75" thickBot="1">
      <c r="A18" s="7" t="s">
        <v>56</v>
      </c>
      <c r="B18" s="20" t="s">
        <v>3</v>
      </c>
      <c r="C18" s="9">
        <v>1105</v>
      </c>
      <c r="D18" s="76"/>
      <c r="E18" s="9"/>
      <c r="F18" s="76"/>
      <c r="G18" s="76"/>
      <c r="H18" s="76"/>
      <c r="I18" s="76"/>
      <c r="J18" s="76"/>
      <c r="K18" s="76"/>
      <c r="L18" s="75" t="s">
        <v>4</v>
      </c>
      <c r="M18" s="5"/>
      <c r="N18" s="6" t="s">
        <v>5</v>
      </c>
      <c r="O18" s="6" t="s">
        <v>6</v>
      </c>
      <c r="P18" s="6" t="s">
        <v>7</v>
      </c>
    </row>
    <row r="19" spans="1:16" s="2" customFormat="1" ht="15.75" thickBot="1">
      <c r="A19" s="7" t="s">
        <v>55</v>
      </c>
      <c r="B19" s="8" t="s">
        <v>8</v>
      </c>
      <c r="C19" s="9">
        <v>1069</v>
      </c>
      <c r="D19" s="76"/>
      <c r="E19" s="76"/>
      <c r="F19" s="76"/>
      <c r="G19" s="76"/>
      <c r="H19" s="9"/>
      <c r="I19" s="9"/>
      <c r="J19" s="76"/>
      <c r="K19" s="9"/>
      <c r="L19" s="75" t="s">
        <v>9</v>
      </c>
      <c r="M19" s="13" t="s">
        <v>8</v>
      </c>
      <c r="N19" s="14">
        <f>SUM(C19+C23+C26+C28)</f>
        <v>2439</v>
      </c>
      <c r="O19" s="15">
        <f>SUM(N19/N23)</f>
        <v>0.31857366771159873</v>
      </c>
      <c r="P19" s="5">
        <v>2</v>
      </c>
    </row>
    <row r="20" spans="1:16" s="2" customFormat="1" ht="15.75" thickBot="1">
      <c r="A20" s="7" t="s">
        <v>45</v>
      </c>
      <c r="B20" s="42" t="s">
        <v>18</v>
      </c>
      <c r="C20" s="76">
        <v>883</v>
      </c>
      <c r="D20" s="76">
        <v>893</v>
      </c>
      <c r="E20" s="76">
        <v>916</v>
      </c>
      <c r="F20" s="76">
        <v>920</v>
      </c>
      <c r="G20" s="76">
        <v>931</v>
      </c>
      <c r="H20" s="76">
        <v>948</v>
      </c>
      <c r="I20" s="9">
        <v>961</v>
      </c>
      <c r="J20" s="76"/>
      <c r="K20" s="9"/>
      <c r="L20" s="75" t="s">
        <v>10</v>
      </c>
      <c r="M20" s="16" t="s">
        <v>3</v>
      </c>
      <c r="N20" s="14">
        <f>SUM(C18+C22+C24+C25)</f>
        <v>2930</v>
      </c>
      <c r="O20" s="15">
        <f>SUM(N20/N23)</f>
        <v>0.38270637408568442</v>
      </c>
      <c r="P20" s="5">
        <v>3</v>
      </c>
    </row>
    <row r="21" spans="1:16" s="2" customFormat="1" ht="15.75" thickBot="1">
      <c r="A21" s="7" t="s">
        <v>102</v>
      </c>
      <c r="B21" s="84" t="s">
        <v>26</v>
      </c>
      <c r="C21" s="76">
        <v>802</v>
      </c>
      <c r="D21" s="76">
        <v>830</v>
      </c>
      <c r="E21" s="76">
        <v>875</v>
      </c>
      <c r="F21" s="76">
        <v>892</v>
      </c>
      <c r="G21" s="76">
        <v>915</v>
      </c>
      <c r="H21" s="9">
        <v>1091</v>
      </c>
      <c r="I21" s="76"/>
      <c r="J21" s="76"/>
      <c r="K21" s="76"/>
      <c r="L21" s="75" t="s">
        <v>12</v>
      </c>
      <c r="M21" s="79" t="s">
        <v>26</v>
      </c>
      <c r="N21" s="14">
        <f>SUM(C21+C29)</f>
        <v>981</v>
      </c>
      <c r="O21" s="15">
        <f>SUM(N21/N23)</f>
        <v>0.1281347962382445</v>
      </c>
      <c r="P21" s="5">
        <v>1</v>
      </c>
    </row>
    <row r="22" spans="1:16" s="2" customFormat="1" ht="15.75" thickBot="1">
      <c r="A22" s="7" t="s">
        <v>302</v>
      </c>
      <c r="B22" s="20" t="s">
        <v>3</v>
      </c>
      <c r="C22" s="76">
        <v>709</v>
      </c>
      <c r="D22" s="76">
        <v>760</v>
      </c>
      <c r="E22" s="76">
        <v>764</v>
      </c>
      <c r="F22" s="76">
        <v>779</v>
      </c>
      <c r="G22" s="76">
        <v>800</v>
      </c>
      <c r="H22" s="76">
        <v>822</v>
      </c>
      <c r="I22" s="76">
        <v>833</v>
      </c>
      <c r="J22" s="76">
        <v>848</v>
      </c>
      <c r="K22" s="9">
        <v>864</v>
      </c>
      <c r="L22" s="75" t="s">
        <v>14</v>
      </c>
      <c r="M22" s="26" t="s">
        <v>17</v>
      </c>
      <c r="N22" s="14">
        <f>SUM(C20+C27)</f>
        <v>1306</v>
      </c>
      <c r="O22" s="15">
        <f>SUM(N22/N23)</f>
        <v>0.17058516196447232</v>
      </c>
      <c r="P22" s="5">
        <v>1</v>
      </c>
    </row>
    <row r="23" spans="1:16" s="2" customFormat="1" ht="15.75" thickBot="1">
      <c r="A23" s="7" t="s">
        <v>105</v>
      </c>
      <c r="B23" s="8" t="s">
        <v>8</v>
      </c>
      <c r="C23" s="76">
        <v>614</v>
      </c>
      <c r="D23" s="76">
        <v>621</v>
      </c>
      <c r="E23" s="76">
        <v>622</v>
      </c>
      <c r="F23" s="76">
        <v>661</v>
      </c>
      <c r="G23" s="76">
        <v>795</v>
      </c>
      <c r="H23" s="76">
        <v>847</v>
      </c>
      <c r="I23" s="76">
        <v>868</v>
      </c>
      <c r="J23" s="9">
        <v>1109</v>
      </c>
      <c r="K23" s="9"/>
      <c r="L23" s="75" t="s">
        <v>15</v>
      </c>
      <c r="N23" s="22">
        <v>7656</v>
      </c>
    </row>
    <row r="24" spans="1:16" s="2" customFormat="1" ht="15.75" thickBot="1">
      <c r="A24" s="17" t="s">
        <v>89</v>
      </c>
      <c r="B24" s="25" t="s">
        <v>3</v>
      </c>
      <c r="C24" s="76">
        <v>560</v>
      </c>
      <c r="D24" s="76">
        <v>582</v>
      </c>
      <c r="E24" s="76">
        <v>589</v>
      </c>
      <c r="F24" s="76">
        <v>592</v>
      </c>
      <c r="G24" s="76">
        <v>627</v>
      </c>
      <c r="H24" s="76">
        <v>733</v>
      </c>
      <c r="I24" s="76">
        <v>761</v>
      </c>
      <c r="J24" s="76">
        <v>775</v>
      </c>
      <c r="K24" s="76">
        <v>792</v>
      </c>
      <c r="L24" s="76"/>
    </row>
    <row r="25" spans="1:16" s="2" customFormat="1" ht="15.75" thickBot="1">
      <c r="A25" s="7" t="s">
        <v>48</v>
      </c>
      <c r="B25" s="20" t="s">
        <v>3</v>
      </c>
      <c r="C25" s="76">
        <v>556</v>
      </c>
      <c r="D25" s="76">
        <v>571</v>
      </c>
      <c r="E25" s="76">
        <v>610</v>
      </c>
      <c r="F25" s="76">
        <v>612</v>
      </c>
      <c r="G25" s="76">
        <v>615</v>
      </c>
      <c r="H25" s="76">
        <v>625</v>
      </c>
      <c r="I25" s="76">
        <v>628</v>
      </c>
      <c r="J25" s="76">
        <v>795</v>
      </c>
      <c r="K25" s="9">
        <v>823</v>
      </c>
      <c r="L25" s="75" t="s">
        <v>57</v>
      </c>
    </row>
    <row r="26" spans="1:16" s="2" customFormat="1" ht="15.75" thickBot="1">
      <c r="A26" s="17" t="s">
        <v>53</v>
      </c>
      <c r="B26" s="23" t="s">
        <v>8</v>
      </c>
      <c r="C26" s="76">
        <v>454</v>
      </c>
      <c r="D26" s="76">
        <v>457</v>
      </c>
      <c r="E26" s="76">
        <v>499</v>
      </c>
      <c r="F26" s="76">
        <v>509</v>
      </c>
      <c r="G26" s="76">
        <v>552</v>
      </c>
      <c r="H26" s="76">
        <v>566</v>
      </c>
      <c r="I26" s="76">
        <v>579</v>
      </c>
      <c r="J26" s="76" t="s">
        <v>16</v>
      </c>
    </row>
    <row r="27" spans="1:16" s="2" customFormat="1" ht="15.75" thickBot="1">
      <c r="A27" s="17" t="s">
        <v>90</v>
      </c>
      <c r="B27" s="41" t="s">
        <v>18</v>
      </c>
      <c r="C27" s="76">
        <v>423</v>
      </c>
      <c r="D27" s="76">
        <v>429</v>
      </c>
      <c r="E27" s="76">
        <v>439</v>
      </c>
      <c r="F27" s="76">
        <v>443</v>
      </c>
      <c r="G27" s="76">
        <v>460</v>
      </c>
      <c r="H27" s="76" t="s">
        <v>16</v>
      </c>
    </row>
    <row r="28" spans="1:16" s="2" customFormat="1" ht="15.75" thickBot="1">
      <c r="A28" s="17" t="s">
        <v>91</v>
      </c>
      <c r="B28" s="23" t="s">
        <v>8</v>
      </c>
      <c r="C28" s="76">
        <v>302</v>
      </c>
      <c r="D28" s="76">
        <v>304</v>
      </c>
      <c r="E28" s="76">
        <v>307</v>
      </c>
      <c r="F28" s="76">
        <v>324</v>
      </c>
      <c r="G28" s="76" t="s">
        <v>16</v>
      </c>
      <c r="I28" s="38"/>
      <c r="J28" s="38"/>
      <c r="K28" s="38"/>
      <c r="L28" s="38"/>
      <c r="M28" s="38"/>
    </row>
    <row r="29" spans="1:16" s="2" customFormat="1" ht="15.75" thickBot="1">
      <c r="A29" s="17" t="s">
        <v>99</v>
      </c>
      <c r="B29" s="77" t="s">
        <v>26</v>
      </c>
      <c r="C29" s="76">
        <v>179</v>
      </c>
      <c r="D29" s="76">
        <v>182</v>
      </c>
      <c r="E29" s="76" t="s">
        <v>16</v>
      </c>
      <c r="H29" s="38"/>
      <c r="I29" s="38"/>
      <c r="J29" s="38"/>
      <c r="K29" s="38"/>
      <c r="L29" s="38"/>
      <c r="M29" s="38"/>
    </row>
    <row r="30" spans="1:16" s="2" customFormat="1" ht="14.25"/>
    <row r="31" spans="1:16" s="2" customFormat="1" ht="14.25">
      <c r="A31" s="1" t="s">
        <v>327</v>
      </c>
    </row>
    <row r="32" spans="1:16" s="2" customFormat="1" ht="9" customHeight="1" thickBot="1">
      <c r="A32" s="1"/>
    </row>
    <row r="33" spans="1:16" s="2" customFormat="1" ht="15.75" thickBot="1">
      <c r="A33" s="3" t="s">
        <v>0</v>
      </c>
      <c r="B33" s="4" t="s">
        <v>1</v>
      </c>
      <c r="C33" s="4" t="s">
        <v>2</v>
      </c>
      <c r="D33" s="4">
        <v>2</v>
      </c>
      <c r="E33" s="4">
        <v>3</v>
      </c>
      <c r="F33" s="4">
        <v>4</v>
      </c>
      <c r="G33" s="4">
        <v>5</v>
      </c>
      <c r="H33" s="4">
        <v>6</v>
      </c>
      <c r="I33" s="4">
        <v>7</v>
      </c>
      <c r="J33" s="4"/>
      <c r="K33" s="6" t="s">
        <v>289</v>
      </c>
      <c r="L33" s="39">
        <f>(7239/9206)</f>
        <v>0.78633499891375191</v>
      </c>
    </row>
    <row r="34" spans="1:16" s="2" customFormat="1" ht="15.75" thickBot="1">
      <c r="A34" s="7" t="s">
        <v>59</v>
      </c>
      <c r="B34" s="42" t="s">
        <v>18</v>
      </c>
      <c r="C34" s="9">
        <v>1110</v>
      </c>
      <c r="D34" s="9"/>
      <c r="E34" s="76"/>
      <c r="F34" s="76"/>
      <c r="G34" s="9"/>
      <c r="H34" s="76"/>
      <c r="I34" s="76"/>
      <c r="J34" s="75" t="s">
        <v>4</v>
      </c>
      <c r="K34" s="5"/>
      <c r="L34" s="6" t="s">
        <v>5</v>
      </c>
      <c r="M34" s="6" t="s">
        <v>6</v>
      </c>
      <c r="N34" s="6" t="s">
        <v>7</v>
      </c>
    </row>
    <row r="35" spans="1:16" s="2" customFormat="1" ht="15.75" thickBot="1">
      <c r="A35" s="7" t="s">
        <v>66</v>
      </c>
      <c r="B35" s="8" t="s">
        <v>8</v>
      </c>
      <c r="C35" s="76">
        <v>877</v>
      </c>
      <c r="D35" s="76">
        <v>888</v>
      </c>
      <c r="E35" s="9">
        <v>966</v>
      </c>
      <c r="F35" s="76"/>
      <c r="G35" s="9"/>
      <c r="H35" s="76"/>
      <c r="I35" s="76"/>
      <c r="J35" s="75" t="s">
        <v>9</v>
      </c>
      <c r="K35" s="13" t="s">
        <v>8</v>
      </c>
      <c r="L35" s="14">
        <f>SUM(C35+C36+C39+C43)</f>
        <v>2920</v>
      </c>
      <c r="M35" s="15">
        <f>SUM(L35/L39)</f>
        <v>0.40776427873202065</v>
      </c>
      <c r="N35" s="5">
        <v>3</v>
      </c>
    </row>
    <row r="36" spans="1:16" s="2" customFormat="1" ht="15.75" thickBot="1">
      <c r="A36" s="7" t="s">
        <v>62</v>
      </c>
      <c r="B36" s="8" t="s">
        <v>8</v>
      </c>
      <c r="C36" s="76">
        <v>824</v>
      </c>
      <c r="D36" s="76">
        <v>850</v>
      </c>
      <c r="E36" s="9">
        <v>961</v>
      </c>
      <c r="F36" s="9"/>
      <c r="G36" s="76"/>
      <c r="H36" s="76"/>
      <c r="I36" s="76"/>
      <c r="J36" s="75" t="s">
        <v>12</v>
      </c>
      <c r="K36" s="16" t="s">
        <v>3</v>
      </c>
      <c r="L36" s="14">
        <f>SUM(C37+C38+C41)</f>
        <v>2005</v>
      </c>
      <c r="M36" s="15">
        <f>SUM(L36/L39)</f>
        <v>0.27998882837592515</v>
      </c>
      <c r="N36" s="5">
        <v>3</v>
      </c>
    </row>
    <row r="37" spans="1:16" s="2" customFormat="1" ht="15.75" thickBot="1">
      <c r="A37" s="7" t="s">
        <v>308</v>
      </c>
      <c r="B37" s="20" t="s">
        <v>3</v>
      </c>
      <c r="C37" s="76">
        <v>752</v>
      </c>
      <c r="D37" s="76">
        <v>782</v>
      </c>
      <c r="E37" s="76">
        <v>794</v>
      </c>
      <c r="F37" s="76">
        <v>799</v>
      </c>
      <c r="G37" s="76">
        <v>802</v>
      </c>
      <c r="H37" s="9">
        <v>902</v>
      </c>
      <c r="I37" s="76"/>
      <c r="J37" s="75" t="s">
        <v>14</v>
      </c>
      <c r="K37" s="79" t="s">
        <v>26</v>
      </c>
      <c r="L37" s="14">
        <v>588</v>
      </c>
      <c r="M37" s="15">
        <f>SUM(L37/L39)</f>
        <v>8.2111436950146624E-2</v>
      </c>
      <c r="N37" s="5"/>
    </row>
    <row r="38" spans="1:16" s="2" customFormat="1" ht="15.75" thickBot="1">
      <c r="A38" s="7" t="s">
        <v>60</v>
      </c>
      <c r="B38" s="20" t="s">
        <v>3</v>
      </c>
      <c r="C38" s="76">
        <v>713</v>
      </c>
      <c r="D38" s="76">
        <v>724</v>
      </c>
      <c r="E38" s="76">
        <v>731</v>
      </c>
      <c r="F38" s="76">
        <v>732</v>
      </c>
      <c r="G38" s="76">
        <v>734</v>
      </c>
      <c r="H38" s="76">
        <v>758</v>
      </c>
      <c r="I38" s="9">
        <v>848</v>
      </c>
      <c r="J38" s="11" t="s">
        <v>57</v>
      </c>
      <c r="K38" s="6" t="s">
        <v>17</v>
      </c>
      <c r="L38" s="38">
        <v>1110</v>
      </c>
      <c r="M38" s="39">
        <f>SUM(L38/L39)</f>
        <v>0.15500628403854211</v>
      </c>
      <c r="N38" s="2">
        <v>1</v>
      </c>
    </row>
    <row r="39" spans="1:16" s="2" customFormat="1" ht="15.75" thickBot="1">
      <c r="A39" s="7" t="s">
        <v>65</v>
      </c>
      <c r="B39" s="8" t="s">
        <v>8</v>
      </c>
      <c r="C39" s="76">
        <v>707</v>
      </c>
      <c r="D39" s="76">
        <v>721</v>
      </c>
      <c r="E39" s="9">
        <v>926</v>
      </c>
      <c r="F39" s="76"/>
      <c r="G39" s="76"/>
      <c r="H39" s="76"/>
      <c r="I39" s="76"/>
      <c r="J39" s="75" t="s">
        <v>10</v>
      </c>
      <c r="L39" s="22">
        <v>7161</v>
      </c>
    </row>
    <row r="40" spans="1:16" s="2" customFormat="1" ht="15.75" thickBot="1">
      <c r="A40" s="17" t="s">
        <v>92</v>
      </c>
      <c r="B40" s="77" t="s">
        <v>26</v>
      </c>
      <c r="C40" s="76">
        <v>588</v>
      </c>
      <c r="D40" s="76">
        <v>597</v>
      </c>
      <c r="E40" s="76">
        <v>624</v>
      </c>
      <c r="F40" s="76">
        <v>636</v>
      </c>
      <c r="G40" s="76">
        <v>659</v>
      </c>
      <c r="H40" s="76">
        <v>729</v>
      </c>
      <c r="I40" s="76">
        <v>742</v>
      </c>
      <c r="J40" s="75"/>
    </row>
    <row r="41" spans="1:16" s="2" customFormat="1" ht="15.75" thickBot="1">
      <c r="A41" s="7" t="s">
        <v>315</v>
      </c>
      <c r="B41" s="20" t="s">
        <v>3</v>
      </c>
      <c r="C41" s="80">
        <v>540</v>
      </c>
      <c r="D41" s="76">
        <v>613</v>
      </c>
      <c r="E41" s="76">
        <v>651</v>
      </c>
      <c r="F41" s="76">
        <v>657</v>
      </c>
      <c r="G41" s="76">
        <v>662</v>
      </c>
      <c r="H41" s="9">
        <v>999</v>
      </c>
      <c r="I41" s="76"/>
      <c r="J41" s="75" t="s">
        <v>15</v>
      </c>
    </row>
    <row r="42" spans="1:16" s="2" customFormat="1" ht="15.75" thickBot="1">
      <c r="A42" s="17" t="s">
        <v>93</v>
      </c>
      <c r="B42" s="25" t="s">
        <v>3</v>
      </c>
      <c r="C42" s="76">
        <v>538</v>
      </c>
      <c r="D42" s="76">
        <v>565</v>
      </c>
      <c r="E42" s="76">
        <v>591</v>
      </c>
      <c r="F42" s="76">
        <v>597</v>
      </c>
      <c r="G42" s="76">
        <v>609</v>
      </c>
      <c r="H42" s="76" t="s">
        <v>16</v>
      </c>
    </row>
    <row r="43" spans="1:16" s="2" customFormat="1" ht="15.75" thickBot="1">
      <c r="A43" s="17" t="s">
        <v>94</v>
      </c>
      <c r="B43" s="23" t="s">
        <v>8</v>
      </c>
      <c r="C43" s="76">
        <v>512</v>
      </c>
      <c r="D43" s="76">
        <v>525</v>
      </c>
      <c r="E43" s="76" t="s">
        <v>16</v>
      </c>
    </row>
    <row r="44" spans="1:16" s="2" customFormat="1" ht="14.25"/>
    <row r="45" spans="1:16" s="2" customFormat="1" ht="14.25">
      <c r="A45" s="1" t="s">
        <v>328</v>
      </c>
    </row>
    <row r="46" spans="1:16" s="2" customFormat="1" ht="9.75" customHeight="1" thickBot="1">
      <c r="A46" s="1"/>
    </row>
    <row r="47" spans="1:16" s="2" customFormat="1" ht="15.75" thickBot="1">
      <c r="A47" s="3" t="s">
        <v>0</v>
      </c>
      <c r="B47" s="4" t="s">
        <v>1</v>
      </c>
      <c r="C47" s="4" t="s">
        <v>2</v>
      </c>
      <c r="D47" s="4">
        <v>2</v>
      </c>
      <c r="E47" s="4">
        <v>3</v>
      </c>
      <c r="F47" s="4">
        <v>4</v>
      </c>
      <c r="G47" s="4">
        <v>5</v>
      </c>
      <c r="H47" s="4">
        <v>6</v>
      </c>
      <c r="I47" s="4">
        <v>7</v>
      </c>
      <c r="J47" s="4">
        <v>8</v>
      </c>
      <c r="K47" s="4">
        <v>9</v>
      </c>
      <c r="L47" s="4"/>
      <c r="M47" s="6" t="s">
        <v>289</v>
      </c>
      <c r="N47" s="39">
        <f>(6428/8163)</f>
        <v>0.78745559230675</v>
      </c>
    </row>
    <row r="48" spans="1:16" s="2" customFormat="1" ht="15.75" thickBot="1">
      <c r="A48" s="7" t="s">
        <v>200</v>
      </c>
      <c r="B48" s="8" t="s">
        <v>8</v>
      </c>
      <c r="C48" s="9">
        <v>936</v>
      </c>
      <c r="D48" s="76"/>
      <c r="E48" s="76"/>
      <c r="F48" s="76"/>
      <c r="G48" s="76"/>
      <c r="H48" s="76"/>
      <c r="I48" s="9"/>
      <c r="J48" s="9"/>
      <c r="K48" s="9"/>
      <c r="L48" s="11" t="s">
        <v>4</v>
      </c>
      <c r="M48" s="5"/>
      <c r="N48" s="6" t="s">
        <v>5</v>
      </c>
      <c r="O48" s="6" t="s">
        <v>6</v>
      </c>
      <c r="P48" s="6" t="s">
        <v>7</v>
      </c>
    </row>
    <row r="49" spans="1:17" s="2" customFormat="1" ht="15.75" thickBot="1">
      <c r="A49" s="7" t="s">
        <v>104</v>
      </c>
      <c r="B49" s="20" t="s">
        <v>3</v>
      </c>
      <c r="C49" s="9">
        <v>928</v>
      </c>
      <c r="D49" s="76"/>
      <c r="E49" s="76"/>
      <c r="F49" s="76"/>
      <c r="G49" s="76"/>
      <c r="H49" s="9"/>
      <c r="I49" s="9"/>
      <c r="J49" s="9"/>
      <c r="K49" s="9"/>
      <c r="L49" s="11" t="s">
        <v>9</v>
      </c>
      <c r="M49" s="13" t="s">
        <v>8</v>
      </c>
      <c r="N49" s="14">
        <f>SUM(C48+C51+C53+C56)</f>
        <v>2630</v>
      </c>
      <c r="O49" s="15">
        <f>SUM(N49/N53)</f>
        <v>0.41469567959634185</v>
      </c>
      <c r="P49" s="5">
        <v>3</v>
      </c>
    </row>
    <row r="50" spans="1:17" s="2" customFormat="1" ht="15.75" thickBot="1">
      <c r="A50" s="7" t="s">
        <v>243</v>
      </c>
      <c r="B50" s="20" t="s">
        <v>3</v>
      </c>
      <c r="C50" s="9">
        <v>923</v>
      </c>
      <c r="D50" s="76"/>
      <c r="E50" s="76"/>
      <c r="F50" s="76"/>
      <c r="G50" s="76"/>
      <c r="H50" s="76"/>
      <c r="I50" s="76"/>
      <c r="J50" s="76"/>
      <c r="K50" s="76"/>
      <c r="L50" s="11" t="s">
        <v>12</v>
      </c>
      <c r="M50" s="16" t="s">
        <v>3</v>
      </c>
      <c r="N50" s="14">
        <f>SUM(C49+C50+C54+C57)</f>
        <v>2583</v>
      </c>
      <c r="O50" s="15">
        <f>SUM(N50/N53)</f>
        <v>0.40728476821192056</v>
      </c>
      <c r="P50" s="5">
        <v>2</v>
      </c>
    </row>
    <row r="51" spans="1:17" s="2" customFormat="1" ht="15.75" thickBot="1">
      <c r="A51" s="7" t="s">
        <v>78</v>
      </c>
      <c r="B51" s="8" t="s">
        <v>8</v>
      </c>
      <c r="C51" s="76">
        <v>783</v>
      </c>
      <c r="D51" s="76">
        <v>792</v>
      </c>
      <c r="E51" s="76">
        <v>796</v>
      </c>
      <c r="F51" s="76">
        <v>797</v>
      </c>
      <c r="G51" s="76">
        <v>799</v>
      </c>
      <c r="H51" s="76">
        <v>810</v>
      </c>
      <c r="I51" s="9">
        <v>964</v>
      </c>
      <c r="J51" s="9"/>
      <c r="K51" s="9"/>
      <c r="L51" s="11" t="s">
        <v>10</v>
      </c>
      <c r="M51" s="79" t="s">
        <v>26</v>
      </c>
      <c r="N51" s="14">
        <v>556</v>
      </c>
      <c r="O51" s="15">
        <f>SUM(N51/N53)</f>
        <v>8.7669504888047936E-2</v>
      </c>
      <c r="P51" s="5">
        <v>1</v>
      </c>
    </row>
    <row r="52" spans="1:17" s="2" customFormat="1" ht="15.75" thickBot="1">
      <c r="A52" s="7" t="s">
        <v>243</v>
      </c>
      <c r="B52" s="84" t="s">
        <v>26</v>
      </c>
      <c r="C52" s="76">
        <v>556</v>
      </c>
      <c r="D52" s="76">
        <v>567</v>
      </c>
      <c r="E52" s="76">
        <v>569</v>
      </c>
      <c r="F52" s="76">
        <v>574</v>
      </c>
      <c r="G52" s="76">
        <v>576</v>
      </c>
      <c r="H52" s="76">
        <v>599</v>
      </c>
      <c r="I52" s="76">
        <v>721</v>
      </c>
      <c r="J52" s="76">
        <v>732</v>
      </c>
      <c r="K52" s="9">
        <v>830</v>
      </c>
      <c r="L52" s="11" t="s">
        <v>15</v>
      </c>
      <c r="M52" s="26" t="s">
        <v>17</v>
      </c>
      <c r="N52" s="14">
        <f>SUM(C55+C58)</f>
        <v>573</v>
      </c>
      <c r="O52" s="15">
        <f>SUM(N52/N53)</f>
        <v>9.0350047303689687E-2</v>
      </c>
      <c r="P52" s="5"/>
    </row>
    <row r="53" spans="1:17" s="2" customFormat="1" ht="15.75" thickBot="1">
      <c r="A53" s="7" t="s">
        <v>325</v>
      </c>
      <c r="B53" s="8" t="s">
        <v>8</v>
      </c>
      <c r="C53" s="80">
        <v>509</v>
      </c>
      <c r="D53" s="76">
        <v>521</v>
      </c>
      <c r="E53" s="76">
        <v>526</v>
      </c>
      <c r="F53" s="76">
        <v>526</v>
      </c>
      <c r="G53" s="76">
        <v>528</v>
      </c>
      <c r="H53" s="76">
        <v>596</v>
      </c>
      <c r="I53" s="76">
        <v>644</v>
      </c>
      <c r="J53" s="76">
        <v>686</v>
      </c>
      <c r="K53" s="9">
        <v>735</v>
      </c>
      <c r="L53" s="11" t="s">
        <v>14</v>
      </c>
      <c r="N53" s="22">
        <v>6342</v>
      </c>
    </row>
    <row r="54" spans="1:17" s="2" customFormat="1" ht="15.75" thickBot="1">
      <c r="A54" s="17" t="s">
        <v>96</v>
      </c>
      <c r="B54" s="25" t="s">
        <v>3</v>
      </c>
      <c r="C54" s="76">
        <v>471</v>
      </c>
      <c r="D54" s="76">
        <v>479</v>
      </c>
      <c r="E54" s="76">
        <v>479</v>
      </c>
      <c r="F54" s="76">
        <v>487</v>
      </c>
      <c r="G54" s="76">
        <v>490</v>
      </c>
      <c r="H54" s="76">
        <v>589</v>
      </c>
      <c r="I54" s="76">
        <v>596</v>
      </c>
      <c r="J54" s="76">
        <v>598</v>
      </c>
      <c r="K54" s="76">
        <v>706</v>
      </c>
      <c r="L54" s="11"/>
    </row>
    <row r="55" spans="1:17" s="2" customFormat="1" ht="15.75" thickBot="1">
      <c r="A55" s="17" t="s">
        <v>101</v>
      </c>
      <c r="B55" s="41" t="s">
        <v>18</v>
      </c>
      <c r="C55" s="76">
        <v>457</v>
      </c>
      <c r="D55" s="76">
        <v>486</v>
      </c>
      <c r="E55" s="76">
        <v>492</v>
      </c>
      <c r="F55" s="76">
        <v>495</v>
      </c>
      <c r="G55" s="76">
        <v>496</v>
      </c>
      <c r="H55" s="76">
        <v>505</v>
      </c>
      <c r="I55" s="76">
        <v>539</v>
      </c>
      <c r="J55" s="76">
        <v>541</v>
      </c>
      <c r="K55" s="9" t="s">
        <v>16</v>
      </c>
    </row>
    <row r="56" spans="1:17" s="2" customFormat="1" ht="15.75" thickBot="1">
      <c r="A56" s="17" t="s">
        <v>100</v>
      </c>
      <c r="B56" s="23" t="s">
        <v>8</v>
      </c>
      <c r="C56" s="76">
        <v>402</v>
      </c>
      <c r="D56" s="76">
        <v>415</v>
      </c>
      <c r="E56" s="76">
        <v>425</v>
      </c>
      <c r="F56" s="76">
        <v>427</v>
      </c>
      <c r="G56" s="76">
        <v>427</v>
      </c>
      <c r="H56" s="76">
        <v>440</v>
      </c>
      <c r="I56" s="9" t="s">
        <v>16</v>
      </c>
      <c r="N56" s="19"/>
      <c r="O56" s="14"/>
      <c r="P56" s="15"/>
      <c r="Q56" s="5"/>
    </row>
    <row r="57" spans="1:17" s="2" customFormat="1" ht="15.75" thickBot="1">
      <c r="A57" s="17" t="s">
        <v>97</v>
      </c>
      <c r="B57" s="25" t="s">
        <v>3</v>
      </c>
      <c r="C57" s="76">
        <v>261</v>
      </c>
      <c r="D57" s="76">
        <v>272</v>
      </c>
      <c r="E57" s="76">
        <v>274</v>
      </c>
      <c r="F57" s="76">
        <v>276</v>
      </c>
      <c r="G57" s="76">
        <v>282</v>
      </c>
      <c r="H57" s="76" t="s">
        <v>16</v>
      </c>
      <c r="L57" s="21"/>
      <c r="M57" s="14"/>
      <c r="N57" s="15"/>
      <c r="O57" s="5"/>
    </row>
    <row r="58" spans="1:17" s="2" customFormat="1" ht="15.75" thickBot="1">
      <c r="A58" s="17" t="s">
        <v>98</v>
      </c>
      <c r="B58" s="41" t="s">
        <v>18</v>
      </c>
      <c r="C58" s="76">
        <v>116</v>
      </c>
      <c r="D58" s="76" t="s">
        <v>16</v>
      </c>
      <c r="M58" s="22"/>
    </row>
    <row r="59" spans="1:17" s="2" customFormat="1" ht="15">
      <c r="A59" s="40"/>
    </row>
    <row r="60" spans="1:17">
      <c r="A60" s="27"/>
      <c r="B60" s="27" t="s">
        <v>19</v>
      </c>
      <c r="C60" s="28" t="s">
        <v>8</v>
      </c>
      <c r="D60" s="29" t="s">
        <v>3</v>
      </c>
      <c r="E60" s="31" t="s">
        <v>11</v>
      </c>
      <c r="F60" s="83" t="s">
        <v>26</v>
      </c>
      <c r="G60" s="27" t="s">
        <v>17</v>
      </c>
    </row>
    <row r="61" spans="1:17" ht="14.25">
      <c r="A61" s="32" t="s">
        <v>5</v>
      </c>
      <c r="B61" s="33">
        <f>SUM(N53+L39+N23+L9)</f>
        <v>26516</v>
      </c>
      <c r="C61" s="34">
        <f>SUM(N49+L35+N19+L5)</f>
        <v>10976</v>
      </c>
      <c r="D61" s="34">
        <f>SUM(N50+L36+N20+L6)</f>
        <v>9310</v>
      </c>
      <c r="E61" s="34">
        <f>SUM(L7)</f>
        <v>302</v>
      </c>
      <c r="F61" s="34">
        <f>SUM(N51+N21+L37)</f>
        <v>2125</v>
      </c>
      <c r="G61" s="34">
        <f>SUM(L38+N22+N52+L8)</f>
        <v>3265</v>
      </c>
    </row>
    <row r="62" spans="1:17" ht="14.25">
      <c r="A62" s="32" t="s">
        <v>6</v>
      </c>
      <c r="B62" s="35">
        <v>1</v>
      </c>
      <c r="C62" s="36">
        <f>SUM(C61/$B$61)</f>
        <v>0.41393875395987328</v>
      </c>
      <c r="D62" s="36">
        <f>SUM(D61/$B$61)</f>
        <v>0.35110876451953538</v>
      </c>
      <c r="E62" s="36">
        <f>SUM(E61/$B$61)</f>
        <v>1.1389349826519837E-2</v>
      </c>
      <c r="F62" s="36">
        <f>SUM(F61/$B$61)</f>
        <v>8.0140292653492234E-2</v>
      </c>
      <c r="G62" s="36">
        <f>SUM(G61/$B$61)</f>
        <v>0.12313320259465983</v>
      </c>
    </row>
    <row r="63" spans="1:17" ht="14.25">
      <c r="A63" s="32" t="s">
        <v>7</v>
      </c>
      <c r="B63" s="27">
        <v>25</v>
      </c>
      <c r="C63">
        <v>11</v>
      </c>
      <c r="D63">
        <v>10</v>
      </c>
      <c r="E63">
        <v>0</v>
      </c>
      <c r="F63">
        <v>2</v>
      </c>
      <c r="G63">
        <v>2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72"/>
  <sheetViews>
    <sheetView workbookViewId="0">
      <selection activeCell="P1" sqref="P1"/>
    </sheetView>
  </sheetViews>
  <sheetFormatPr defaultRowHeight="12.75"/>
  <cols>
    <col min="1" max="1" width="20.28515625" customWidth="1"/>
  </cols>
  <sheetData>
    <row r="1" spans="1:17" s="2" customFormat="1" ht="14.25">
      <c r="A1" s="1" t="s">
        <v>28</v>
      </c>
    </row>
    <row r="2" spans="1:17" s="2" customFormat="1" ht="9" customHeight="1" thickBot="1">
      <c r="A2" s="1"/>
    </row>
    <row r="3" spans="1:17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/>
      <c r="N3" s="6" t="s">
        <v>289</v>
      </c>
      <c r="O3" s="39">
        <f>(5535/7315)</f>
        <v>0.75666438824333559</v>
      </c>
    </row>
    <row r="4" spans="1:17" s="2" customFormat="1" ht="15.75" thickBot="1">
      <c r="A4" s="7" t="s">
        <v>29</v>
      </c>
      <c r="B4" s="8" t="s">
        <v>8</v>
      </c>
      <c r="C4" s="9">
        <v>1059</v>
      </c>
      <c r="D4" s="10"/>
      <c r="E4" s="10"/>
      <c r="F4" s="10"/>
      <c r="G4" s="76"/>
      <c r="H4" s="10"/>
      <c r="I4" s="10"/>
      <c r="J4" s="10"/>
      <c r="K4" s="10"/>
      <c r="L4" s="10"/>
      <c r="M4" s="75" t="s">
        <v>4</v>
      </c>
      <c r="N4" s="5"/>
      <c r="O4" s="6" t="s">
        <v>5</v>
      </c>
      <c r="P4" s="6" t="s">
        <v>6</v>
      </c>
      <c r="Q4" s="6" t="s">
        <v>7</v>
      </c>
    </row>
    <row r="5" spans="1:17" s="2" customFormat="1" ht="15.75" thickBot="1">
      <c r="A5" s="7" t="s">
        <v>30</v>
      </c>
      <c r="B5" s="20" t="s">
        <v>3</v>
      </c>
      <c r="C5" s="10">
        <v>765</v>
      </c>
      <c r="D5" s="10">
        <v>773</v>
      </c>
      <c r="E5" s="10">
        <v>783</v>
      </c>
      <c r="F5" s="10">
        <v>824</v>
      </c>
      <c r="G5" s="10">
        <v>827</v>
      </c>
      <c r="H5" s="11">
        <v>928</v>
      </c>
      <c r="I5" s="10"/>
      <c r="J5" s="10"/>
      <c r="K5" s="10"/>
      <c r="L5" s="10"/>
      <c r="M5" s="75" t="s">
        <v>9</v>
      </c>
      <c r="N5" s="13" t="s">
        <v>8</v>
      </c>
      <c r="O5" s="14">
        <f>SUM(C4+C6+C7+C11+C13+C14)</f>
        <v>2942</v>
      </c>
      <c r="P5" s="15">
        <f>SUM(O5/O8)</f>
        <v>0.53872917048159674</v>
      </c>
      <c r="Q5" s="5">
        <v>3</v>
      </c>
    </row>
    <row r="6" spans="1:17" s="2" customFormat="1" ht="15.75" thickBot="1">
      <c r="A6" s="7" t="s">
        <v>106</v>
      </c>
      <c r="B6" s="8" t="s">
        <v>8</v>
      </c>
      <c r="C6" s="10">
        <v>573</v>
      </c>
      <c r="D6" s="10">
        <v>638</v>
      </c>
      <c r="E6" s="10">
        <v>644</v>
      </c>
      <c r="F6" s="10">
        <v>743</v>
      </c>
      <c r="G6" s="10">
        <v>799</v>
      </c>
      <c r="H6" s="10">
        <v>852</v>
      </c>
      <c r="I6" s="11">
        <v>976</v>
      </c>
      <c r="J6" s="10"/>
      <c r="K6" s="10"/>
      <c r="L6" s="10"/>
      <c r="M6" s="75" t="s">
        <v>12</v>
      </c>
      <c r="N6" s="16" t="s">
        <v>3</v>
      </c>
      <c r="O6" s="14">
        <f>SUM(C5+C8+C10+C12+C15)</f>
        <v>2116</v>
      </c>
      <c r="P6" s="15">
        <f>SUM(O6/O8)</f>
        <v>0.38747482146127082</v>
      </c>
      <c r="Q6" s="5">
        <v>2</v>
      </c>
    </row>
    <row r="7" spans="1:17" s="2" customFormat="1" ht="15.75" thickBot="1">
      <c r="A7" s="7" t="s">
        <v>31</v>
      </c>
      <c r="B7" s="8" t="s">
        <v>8</v>
      </c>
      <c r="C7" s="10">
        <v>517</v>
      </c>
      <c r="D7" s="10">
        <v>534</v>
      </c>
      <c r="E7" s="10">
        <v>537</v>
      </c>
      <c r="F7" s="10">
        <v>564</v>
      </c>
      <c r="G7" s="10">
        <v>602</v>
      </c>
      <c r="H7" s="10">
        <v>618</v>
      </c>
      <c r="I7" s="10">
        <v>634</v>
      </c>
      <c r="J7" s="10">
        <v>741</v>
      </c>
      <c r="K7" s="10">
        <v>742</v>
      </c>
      <c r="L7" s="11">
        <v>770</v>
      </c>
      <c r="M7" s="75" t="s">
        <v>15</v>
      </c>
      <c r="N7" s="19" t="s">
        <v>11</v>
      </c>
      <c r="O7" s="38">
        <v>403</v>
      </c>
      <c r="P7" s="39">
        <f>SUM(O7/O8)</f>
        <v>7.3796008057132392E-2</v>
      </c>
    </row>
    <row r="8" spans="1:17" s="2" customFormat="1" ht="15.75" thickBot="1">
      <c r="A8" s="17" t="s">
        <v>32</v>
      </c>
      <c r="B8" s="25" t="s">
        <v>3</v>
      </c>
      <c r="C8" s="10">
        <v>510</v>
      </c>
      <c r="D8" s="10">
        <v>515</v>
      </c>
      <c r="E8" s="10">
        <v>518</v>
      </c>
      <c r="F8" s="10">
        <v>534</v>
      </c>
      <c r="G8" s="10">
        <v>556</v>
      </c>
      <c r="H8" s="10">
        <v>608</v>
      </c>
      <c r="I8" s="10">
        <v>622</v>
      </c>
      <c r="J8" s="10">
        <v>746</v>
      </c>
      <c r="K8" s="10">
        <v>755</v>
      </c>
      <c r="L8" s="10">
        <v>761</v>
      </c>
      <c r="M8" s="75"/>
      <c r="O8" s="22">
        <v>5461</v>
      </c>
    </row>
    <row r="9" spans="1:17" s="2" customFormat="1" ht="15.75" thickBot="1">
      <c r="A9" s="17" t="s">
        <v>33</v>
      </c>
      <c r="B9" s="18" t="s">
        <v>11</v>
      </c>
      <c r="C9" s="10">
        <v>403</v>
      </c>
      <c r="D9" s="10">
        <v>408</v>
      </c>
      <c r="E9" s="10">
        <v>412</v>
      </c>
      <c r="F9" s="10">
        <v>417</v>
      </c>
      <c r="G9" s="10">
        <v>455</v>
      </c>
      <c r="H9" s="10">
        <v>467</v>
      </c>
      <c r="I9" s="10">
        <v>507</v>
      </c>
      <c r="J9" s="10" t="s">
        <v>16</v>
      </c>
    </row>
    <row r="10" spans="1:17" s="2" customFormat="1" ht="15.75" thickBot="1">
      <c r="A10" s="7" t="s">
        <v>34</v>
      </c>
      <c r="B10" s="20" t="s">
        <v>3</v>
      </c>
      <c r="C10" s="10">
        <v>346</v>
      </c>
      <c r="D10" s="10">
        <v>349</v>
      </c>
      <c r="E10" s="10">
        <v>396</v>
      </c>
      <c r="F10" s="10">
        <v>402</v>
      </c>
      <c r="G10" s="10">
        <v>497</v>
      </c>
      <c r="H10" s="10">
        <v>556</v>
      </c>
      <c r="I10" s="10">
        <v>726</v>
      </c>
      <c r="J10" s="10">
        <v>804</v>
      </c>
      <c r="K10" s="10">
        <v>811</v>
      </c>
      <c r="L10" s="11">
        <v>842</v>
      </c>
      <c r="M10" s="75" t="s">
        <v>10</v>
      </c>
    </row>
    <row r="11" spans="1:17" s="2" customFormat="1" ht="15.75" thickBot="1">
      <c r="A11" s="17" t="s">
        <v>35</v>
      </c>
      <c r="B11" s="23" t="s">
        <v>8</v>
      </c>
      <c r="C11" s="10">
        <v>310</v>
      </c>
      <c r="D11" s="10">
        <v>316</v>
      </c>
      <c r="E11" s="10">
        <v>325</v>
      </c>
      <c r="F11" s="10">
        <v>335</v>
      </c>
      <c r="G11" s="10" t="s">
        <v>16</v>
      </c>
      <c r="M11" s="19"/>
      <c r="N11" s="38"/>
      <c r="O11" s="39"/>
    </row>
    <row r="12" spans="1:17" s="2" customFormat="1" ht="15.75" thickBot="1">
      <c r="A12" s="17" t="s">
        <v>36</v>
      </c>
      <c r="B12" s="25" t="s">
        <v>3</v>
      </c>
      <c r="C12" s="10">
        <v>295</v>
      </c>
      <c r="D12" s="10">
        <v>311</v>
      </c>
      <c r="E12" s="10">
        <v>311</v>
      </c>
      <c r="F12" s="10">
        <v>340</v>
      </c>
      <c r="G12" s="10">
        <v>342</v>
      </c>
      <c r="H12" s="10" t="s">
        <v>16</v>
      </c>
      <c r="N12" s="22"/>
    </row>
    <row r="13" spans="1:17" s="2" customFormat="1" ht="15.75" thickBot="1">
      <c r="A13" s="17" t="s">
        <v>37</v>
      </c>
      <c r="B13" s="23" t="s">
        <v>8</v>
      </c>
      <c r="C13" s="10">
        <v>251</v>
      </c>
      <c r="D13" s="10">
        <v>271</v>
      </c>
      <c r="E13" s="10">
        <v>271</v>
      </c>
      <c r="F13" s="10" t="s">
        <v>16</v>
      </c>
    </row>
    <row r="14" spans="1:17" s="2" customFormat="1" ht="15.75" thickBot="1">
      <c r="A14" s="17" t="s">
        <v>38</v>
      </c>
      <c r="B14" s="23" t="s">
        <v>8</v>
      </c>
      <c r="C14" s="10">
        <v>232</v>
      </c>
      <c r="D14" s="10">
        <v>234</v>
      </c>
      <c r="E14" s="10">
        <v>343</v>
      </c>
      <c r="F14" s="10">
        <v>349</v>
      </c>
      <c r="G14" s="10">
        <v>410</v>
      </c>
      <c r="H14" s="10">
        <v>412</v>
      </c>
      <c r="I14" s="10" t="s">
        <v>16</v>
      </c>
    </row>
    <row r="15" spans="1:17" s="2" customFormat="1" ht="15.75" thickBot="1">
      <c r="A15" s="17" t="s">
        <v>39</v>
      </c>
      <c r="B15" s="25" t="s">
        <v>3</v>
      </c>
      <c r="C15" s="10">
        <v>200</v>
      </c>
      <c r="D15" s="10">
        <v>201</v>
      </c>
      <c r="E15" s="10" t="s">
        <v>16</v>
      </c>
    </row>
    <row r="16" spans="1:17" s="2" customFormat="1" ht="14.25"/>
    <row r="17" spans="1:18" s="2" customFormat="1" ht="14.25">
      <c r="A17" s="1" t="s">
        <v>40</v>
      </c>
    </row>
    <row r="18" spans="1:18" s="2" customFormat="1" ht="9.75" customHeight="1" thickBot="1">
      <c r="A18" s="1"/>
    </row>
    <row r="19" spans="1:18" s="2" customFormat="1" ht="15.75" thickBot="1">
      <c r="A19" s="3" t="s">
        <v>0</v>
      </c>
      <c r="B19" s="4" t="s">
        <v>1</v>
      </c>
      <c r="C19" s="4" t="s">
        <v>2</v>
      </c>
      <c r="D19" s="4">
        <v>2</v>
      </c>
      <c r="E19" s="4">
        <v>3</v>
      </c>
      <c r="F19" s="4">
        <v>4</v>
      </c>
      <c r="G19" s="4">
        <v>5</v>
      </c>
      <c r="H19" s="4">
        <v>6</v>
      </c>
      <c r="I19" s="4">
        <v>7</v>
      </c>
      <c r="J19" s="4">
        <v>8</v>
      </c>
      <c r="K19" s="4">
        <v>9</v>
      </c>
      <c r="L19" s="4">
        <v>10</v>
      </c>
      <c r="M19" s="4">
        <v>11</v>
      </c>
      <c r="N19" s="4"/>
      <c r="O19" s="6" t="s">
        <v>289</v>
      </c>
      <c r="P19" s="39">
        <f>(8240/11209)</f>
        <v>0.73512356142385582</v>
      </c>
    </row>
    <row r="20" spans="1:18" s="2" customFormat="1" ht="15.75" thickBot="1">
      <c r="A20" s="7" t="s">
        <v>56</v>
      </c>
      <c r="B20" s="20" t="s">
        <v>3</v>
      </c>
      <c r="C20" s="9">
        <v>1102</v>
      </c>
      <c r="D20" s="76"/>
      <c r="E20" s="9"/>
      <c r="F20" s="76"/>
      <c r="G20" s="76"/>
      <c r="H20" s="76"/>
      <c r="I20" s="76"/>
      <c r="J20" s="76"/>
      <c r="K20" s="76"/>
      <c r="L20" s="76"/>
      <c r="M20" s="76"/>
      <c r="N20" s="75" t="s">
        <v>4</v>
      </c>
      <c r="O20" s="5"/>
      <c r="P20" s="6" t="s">
        <v>5</v>
      </c>
      <c r="Q20" s="6" t="s">
        <v>6</v>
      </c>
      <c r="R20" s="6" t="s">
        <v>7</v>
      </c>
    </row>
    <row r="21" spans="1:18" s="2" customFormat="1" ht="15.75" thickBot="1">
      <c r="A21" s="7" t="s">
        <v>55</v>
      </c>
      <c r="B21" s="8" t="s">
        <v>8</v>
      </c>
      <c r="C21" s="76">
        <v>768</v>
      </c>
      <c r="D21" s="76">
        <v>778</v>
      </c>
      <c r="E21" s="76">
        <v>786</v>
      </c>
      <c r="F21" s="76">
        <v>848</v>
      </c>
      <c r="G21" s="76">
        <v>938</v>
      </c>
      <c r="H21" s="9">
        <v>1169</v>
      </c>
      <c r="I21" s="9"/>
      <c r="J21" s="76"/>
      <c r="K21" s="9"/>
      <c r="L21" s="9"/>
      <c r="M21" s="76"/>
      <c r="N21" s="75" t="s">
        <v>9</v>
      </c>
      <c r="O21" s="13" t="s">
        <v>8</v>
      </c>
      <c r="P21" s="14">
        <f>SUM(C21+C27+C28+C30+C32)</f>
        <v>2708</v>
      </c>
      <c r="Q21" s="15">
        <f>SUM(P21/P27)</f>
        <v>0.33390875462392111</v>
      </c>
      <c r="R21" s="5">
        <v>3</v>
      </c>
    </row>
    <row r="22" spans="1:18" s="2" customFormat="1" ht="15.75" thickBot="1">
      <c r="A22" s="7" t="s">
        <v>43</v>
      </c>
      <c r="B22" s="37" t="s">
        <v>11</v>
      </c>
      <c r="C22" s="76">
        <v>744</v>
      </c>
      <c r="D22" s="76">
        <v>748</v>
      </c>
      <c r="E22" s="76">
        <v>765</v>
      </c>
      <c r="F22" s="76">
        <v>796</v>
      </c>
      <c r="G22" s="76">
        <v>834</v>
      </c>
      <c r="H22" s="76">
        <v>888</v>
      </c>
      <c r="I22" s="76">
        <v>896</v>
      </c>
      <c r="J22" s="76">
        <v>911</v>
      </c>
      <c r="K22" s="9">
        <v>1118</v>
      </c>
      <c r="L22" s="9"/>
      <c r="M22" s="76"/>
      <c r="N22" s="75" t="s">
        <v>12</v>
      </c>
      <c r="O22" s="16" t="s">
        <v>3</v>
      </c>
      <c r="P22" s="14">
        <f>SUM(C20+C23+C24+C25+C33)</f>
        <v>3132</v>
      </c>
      <c r="Q22" s="15">
        <f>SUM(P22/P27)</f>
        <v>0.38618988902589396</v>
      </c>
      <c r="R22" s="5">
        <v>3</v>
      </c>
    </row>
    <row r="23" spans="1:18" s="2" customFormat="1" ht="15.75" thickBot="1">
      <c r="A23" s="7" t="s">
        <v>54</v>
      </c>
      <c r="B23" s="20" t="s">
        <v>3</v>
      </c>
      <c r="C23" s="76">
        <v>647</v>
      </c>
      <c r="D23" s="76">
        <v>666</v>
      </c>
      <c r="E23" s="76">
        <v>732</v>
      </c>
      <c r="F23" s="76">
        <v>739</v>
      </c>
      <c r="G23" s="76">
        <v>769</v>
      </c>
      <c r="H23" s="76">
        <v>776</v>
      </c>
      <c r="I23" s="76">
        <v>780</v>
      </c>
      <c r="J23" s="76">
        <v>821</v>
      </c>
      <c r="K23" s="76">
        <v>899</v>
      </c>
      <c r="L23" s="76">
        <v>920</v>
      </c>
      <c r="M23" s="9">
        <v>1146</v>
      </c>
      <c r="N23" s="75" t="s">
        <v>14</v>
      </c>
      <c r="O23" s="19" t="s">
        <v>11</v>
      </c>
      <c r="P23" s="14">
        <v>744</v>
      </c>
      <c r="Q23" s="15">
        <f>SUM(P23/P27)</f>
        <v>9.1738594327990142E-2</v>
      </c>
      <c r="R23" s="5">
        <v>1</v>
      </c>
    </row>
    <row r="24" spans="1:18" s="2" customFormat="1" ht="15.75" thickBot="1">
      <c r="A24" s="17" t="s">
        <v>48</v>
      </c>
      <c r="B24" s="25" t="s">
        <v>3</v>
      </c>
      <c r="C24" s="76">
        <v>633</v>
      </c>
      <c r="D24" s="76">
        <v>644</v>
      </c>
      <c r="E24" s="76">
        <v>649</v>
      </c>
      <c r="F24" s="76">
        <v>653</v>
      </c>
      <c r="G24" s="76">
        <v>674</v>
      </c>
      <c r="H24" s="76">
        <v>680</v>
      </c>
      <c r="I24" s="76">
        <v>681</v>
      </c>
      <c r="J24" s="76">
        <v>779</v>
      </c>
      <c r="K24" s="76">
        <v>806</v>
      </c>
      <c r="L24" s="76">
        <v>824</v>
      </c>
      <c r="M24" s="9" t="s">
        <v>16</v>
      </c>
      <c r="O24" s="21" t="s">
        <v>13</v>
      </c>
      <c r="P24" s="14">
        <v>331</v>
      </c>
      <c r="Q24" s="15">
        <f>SUM(P24/P27)</f>
        <v>4.0813810110974104E-2</v>
      </c>
      <c r="R24" s="5"/>
    </row>
    <row r="25" spans="1:18" s="2" customFormat="1" ht="15.75" thickBot="1">
      <c r="A25" s="7" t="s">
        <v>44</v>
      </c>
      <c r="B25" s="20" t="s">
        <v>3</v>
      </c>
      <c r="C25" s="76">
        <v>602</v>
      </c>
      <c r="D25" s="76">
        <v>617</v>
      </c>
      <c r="E25" s="76">
        <v>630</v>
      </c>
      <c r="F25" s="76">
        <v>636</v>
      </c>
      <c r="G25" s="76">
        <v>660</v>
      </c>
      <c r="H25" s="76">
        <v>772</v>
      </c>
      <c r="I25" s="76">
        <v>778</v>
      </c>
      <c r="J25" s="76">
        <v>907</v>
      </c>
      <c r="K25" s="9">
        <v>1027</v>
      </c>
      <c r="L25" s="76"/>
      <c r="M25" s="76"/>
      <c r="N25" s="75" t="s">
        <v>10</v>
      </c>
      <c r="O25" s="79" t="s">
        <v>26</v>
      </c>
      <c r="P25" s="14">
        <v>544</v>
      </c>
      <c r="Q25" s="15">
        <f>SUM(P25/P27)</f>
        <v>6.7077681874229342E-2</v>
      </c>
      <c r="R25" s="5"/>
    </row>
    <row r="26" spans="1:18" s="2" customFormat="1" ht="15.75" thickBot="1">
      <c r="A26" s="17" t="s">
        <v>45</v>
      </c>
      <c r="B26" s="41" t="s">
        <v>18</v>
      </c>
      <c r="C26" s="76">
        <v>601</v>
      </c>
      <c r="D26" s="76">
        <v>604</v>
      </c>
      <c r="E26" s="76">
        <v>606</v>
      </c>
      <c r="F26" s="76">
        <v>606</v>
      </c>
      <c r="G26" s="76">
        <v>619</v>
      </c>
      <c r="H26" s="76">
        <v>638</v>
      </c>
      <c r="I26" s="76">
        <v>641</v>
      </c>
      <c r="J26" s="76" t="s">
        <v>16</v>
      </c>
      <c r="O26" s="26" t="s">
        <v>17</v>
      </c>
      <c r="P26" s="14">
        <f>SUM(C26+C34)</f>
        <v>651</v>
      </c>
      <c r="Q26" s="15">
        <f>SUM(P26/P27)</f>
        <v>8.0271270036991374E-2</v>
      </c>
      <c r="R26" s="5"/>
    </row>
    <row r="27" spans="1:18" s="2" customFormat="1" ht="15.75" thickBot="1">
      <c r="A27" s="7" t="s">
        <v>53</v>
      </c>
      <c r="B27" s="8" t="s">
        <v>8</v>
      </c>
      <c r="C27" s="76">
        <v>590</v>
      </c>
      <c r="D27" s="76">
        <v>593</v>
      </c>
      <c r="E27" s="76">
        <v>595</v>
      </c>
      <c r="F27" s="76">
        <v>607</v>
      </c>
      <c r="G27" s="76">
        <v>616</v>
      </c>
      <c r="H27" s="76">
        <v>665</v>
      </c>
      <c r="I27" s="76">
        <v>746</v>
      </c>
      <c r="J27" s="76">
        <v>846</v>
      </c>
      <c r="K27" s="76">
        <v>902</v>
      </c>
      <c r="L27" s="76">
        <v>921</v>
      </c>
      <c r="M27" s="9">
        <v>1239</v>
      </c>
      <c r="N27" s="75" t="s">
        <v>15</v>
      </c>
      <c r="P27" s="22">
        <v>8110</v>
      </c>
    </row>
    <row r="28" spans="1:18" s="2" customFormat="1" ht="15.75" thickBot="1">
      <c r="A28" s="7" t="s">
        <v>52</v>
      </c>
      <c r="B28" s="8" t="s">
        <v>8</v>
      </c>
      <c r="C28" s="76">
        <v>579</v>
      </c>
      <c r="D28" s="76">
        <v>582</v>
      </c>
      <c r="E28" s="76">
        <v>608</v>
      </c>
      <c r="F28" s="76">
        <v>652</v>
      </c>
      <c r="G28" s="76">
        <v>665</v>
      </c>
      <c r="H28" s="76">
        <v>723</v>
      </c>
      <c r="I28" s="76">
        <v>758</v>
      </c>
      <c r="J28" s="76">
        <v>809</v>
      </c>
      <c r="K28" s="76">
        <v>889</v>
      </c>
      <c r="L28" s="76">
        <v>911</v>
      </c>
      <c r="M28" s="9">
        <v>921</v>
      </c>
      <c r="N28" s="75" t="s">
        <v>57</v>
      </c>
    </row>
    <row r="29" spans="1:18" s="2" customFormat="1" ht="15.75" thickBot="1">
      <c r="A29" s="17" t="s">
        <v>47</v>
      </c>
      <c r="B29" s="77" t="s">
        <v>26</v>
      </c>
      <c r="C29" s="76">
        <v>544</v>
      </c>
      <c r="D29" s="76">
        <v>552</v>
      </c>
      <c r="E29" s="76">
        <v>575</v>
      </c>
      <c r="F29" s="76">
        <v>596</v>
      </c>
      <c r="G29" s="76">
        <v>660</v>
      </c>
      <c r="H29" s="76">
        <v>697</v>
      </c>
      <c r="I29" s="76">
        <v>714</v>
      </c>
      <c r="J29" s="76">
        <v>778</v>
      </c>
      <c r="K29" s="76" t="s">
        <v>16</v>
      </c>
      <c r="M29" s="38"/>
    </row>
    <row r="30" spans="1:18" s="2" customFormat="1" ht="15.75" thickBot="1">
      <c r="A30" s="17" t="s">
        <v>46</v>
      </c>
      <c r="B30" s="23" t="s">
        <v>8</v>
      </c>
      <c r="C30" s="76">
        <v>530</v>
      </c>
      <c r="D30" s="76">
        <v>532</v>
      </c>
      <c r="E30" s="76">
        <v>536</v>
      </c>
      <c r="F30" s="76">
        <v>592</v>
      </c>
      <c r="G30" s="76">
        <v>611</v>
      </c>
      <c r="H30" s="76" t="s">
        <v>16</v>
      </c>
      <c r="I30" s="38"/>
      <c r="J30" s="38"/>
      <c r="K30" s="38"/>
      <c r="L30" s="38"/>
      <c r="M30" s="38"/>
    </row>
    <row r="31" spans="1:18" s="2" customFormat="1" ht="15.75" thickBot="1">
      <c r="A31" s="17" t="s">
        <v>51</v>
      </c>
      <c r="B31" s="24" t="s">
        <v>13</v>
      </c>
      <c r="C31" s="76">
        <v>331</v>
      </c>
      <c r="D31" s="76">
        <v>337</v>
      </c>
      <c r="E31" s="76">
        <v>351</v>
      </c>
      <c r="F31" s="76">
        <v>353</v>
      </c>
      <c r="G31" s="76" t="s">
        <v>16</v>
      </c>
      <c r="H31" s="38"/>
      <c r="I31" s="38"/>
      <c r="J31" s="38"/>
      <c r="K31" s="38"/>
      <c r="L31" s="38"/>
      <c r="M31" s="38"/>
    </row>
    <row r="32" spans="1:18" s="2" customFormat="1" ht="15.75" thickBot="1">
      <c r="A32" s="17" t="s">
        <v>49</v>
      </c>
      <c r="B32" s="23" t="s">
        <v>8</v>
      </c>
      <c r="C32" s="76">
        <v>241</v>
      </c>
      <c r="D32" s="76">
        <v>242</v>
      </c>
      <c r="E32" s="76">
        <v>254</v>
      </c>
      <c r="F32" s="76" t="s">
        <v>16</v>
      </c>
      <c r="G32" s="38"/>
      <c r="H32" s="38"/>
      <c r="I32" s="38"/>
      <c r="J32" s="38"/>
      <c r="K32" s="38"/>
      <c r="L32" s="38"/>
      <c r="M32" s="38"/>
    </row>
    <row r="33" spans="1:16" s="2" customFormat="1" ht="15.75" thickBot="1">
      <c r="A33" s="17" t="s">
        <v>50</v>
      </c>
      <c r="B33" s="25" t="s">
        <v>3</v>
      </c>
      <c r="C33" s="76">
        <v>148</v>
      </c>
      <c r="D33" s="76">
        <v>151</v>
      </c>
      <c r="E33" s="76" t="s">
        <v>16</v>
      </c>
      <c r="F33" s="38"/>
      <c r="G33" s="38"/>
      <c r="H33" s="38"/>
      <c r="I33" s="38"/>
      <c r="J33" s="38"/>
      <c r="K33" s="38"/>
      <c r="L33" s="38"/>
      <c r="M33" s="38"/>
    </row>
    <row r="34" spans="1:16" s="2" customFormat="1" ht="15.75" thickBot="1">
      <c r="A34" s="17" t="s">
        <v>41</v>
      </c>
      <c r="B34" s="78" t="s">
        <v>42</v>
      </c>
      <c r="C34" s="76">
        <v>50</v>
      </c>
      <c r="D34" s="76">
        <v>50</v>
      </c>
      <c r="E34" s="76" t="s">
        <v>16</v>
      </c>
      <c r="F34" s="38"/>
      <c r="G34" s="38"/>
      <c r="H34" s="38"/>
      <c r="I34" s="38"/>
      <c r="J34" s="38"/>
      <c r="K34" s="38"/>
      <c r="L34" s="38"/>
      <c r="M34" s="38"/>
    </row>
    <row r="35" spans="1:16" s="2" customFormat="1" ht="14.25"/>
    <row r="36" spans="1:16" s="2" customFormat="1" ht="14.25">
      <c r="A36" s="1" t="s">
        <v>58</v>
      </c>
    </row>
    <row r="37" spans="1:16" s="2" customFormat="1" ht="9" customHeight="1" thickBot="1">
      <c r="A37" s="1"/>
    </row>
    <row r="38" spans="1:16" s="2" customFormat="1" ht="15.75" thickBot="1">
      <c r="A38" s="3" t="s">
        <v>0</v>
      </c>
      <c r="B38" s="4" t="s">
        <v>1</v>
      </c>
      <c r="C38" s="4" t="s">
        <v>2</v>
      </c>
      <c r="D38" s="4">
        <v>2</v>
      </c>
      <c r="E38" s="4">
        <v>3</v>
      </c>
      <c r="F38" s="4">
        <v>4</v>
      </c>
      <c r="G38" s="4">
        <v>5</v>
      </c>
      <c r="H38" s="4">
        <v>6</v>
      </c>
      <c r="I38" s="4">
        <v>7</v>
      </c>
      <c r="J38" s="4">
        <v>8</v>
      </c>
      <c r="K38" s="4">
        <v>9</v>
      </c>
      <c r="L38" s="4"/>
      <c r="M38" s="6" t="s">
        <v>289</v>
      </c>
      <c r="N38" s="39">
        <f>(7445/10090)</f>
        <v>0.73785926660059464</v>
      </c>
    </row>
    <row r="39" spans="1:16" s="2" customFormat="1" ht="15.75" thickBot="1">
      <c r="A39" s="7" t="s">
        <v>59</v>
      </c>
      <c r="B39" s="42" t="s">
        <v>18</v>
      </c>
      <c r="C39" s="9">
        <v>1072</v>
      </c>
      <c r="D39" s="9"/>
      <c r="E39" s="76"/>
      <c r="F39" s="76"/>
      <c r="G39" s="9"/>
      <c r="H39" s="76"/>
      <c r="I39" s="76"/>
      <c r="J39" s="9"/>
      <c r="K39" s="76"/>
      <c r="L39" s="75" t="s">
        <v>4</v>
      </c>
      <c r="M39" s="5"/>
      <c r="N39" s="6" t="s">
        <v>5</v>
      </c>
      <c r="O39" s="6" t="s">
        <v>6</v>
      </c>
      <c r="P39" s="6" t="s">
        <v>7</v>
      </c>
    </row>
    <row r="40" spans="1:16" s="2" customFormat="1" ht="15.75" thickBot="1">
      <c r="A40" s="7" t="s">
        <v>60</v>
      </c>
      <c r="B40" s="20" t="s">
        <v>3</v>
      </c>
      <c r="C40" s="9">
        <v>990</v>
      </c>
      <c r="D40" s="76"/>
      <c r="E40" s="76"/>
      <c r="F40" s="76"/>
      <c r="G40" s="9"/>
      <c r="H40" s="76"/>
      <c r="I40" s="76"/>
      <c r="J40" s="9"/>
      <c r="K40" s="76"/>
      <c r="L40" s="75" t="s">
        <v>9</v>
      </c>
      <c r="M40" s="13" t="s">
        <v>8</v>
      </c>
      <c r="N40" s="14">
        <f>SUM(C42+C44+C45+C46+C51)</f>
        <v>2636</v>
      </c>
      <c r="O40" s="15">
        <f>SUM(N40/N45)</f>
        <v>0.35951991271140205</v>
      </c>
      <c r="P40" s="5">
        <v>3</v>
      </c>
    </row>
    <row r="41" spans="1:16" s="2" customFormat="1" ht="15.75" thickBot="1">
      <c r="A41" s="7" t="s">
        <v>61</v>
      </c>
      <c r="B41" s="20" t="s">
        <v>3</v>
      </c>
      <c r="C41" s="76">
        <v>822</v>
      </c>
      <c r="D41" s="76">
        <v>867</v>
      </c>
      <c r="E41" s="76">
        <v>893</v>
      </c>
      <c r="F41" s="9">
        <v>918</v>
      </c>
      <c r="G41" s="76"/>
      <c r="H41" s="76"/>
      <c r="I41" s="76"/>
      <c r="J41" s="76"/>
      <c r="K41" s="76"/>
      <c r="L41" s="75" t="s">
        <v>12</v>
      </c>
      <c r="M41" s="16" t="s">
        <v>3</v>
      </c>
      <c r="N41" s="14">
        <f>SUM(C40+C41+C43+C47)</f>
        <v>2943</v>
      </c>
      <c r="O41" s="15">
        <f>SUM(N41/N45)</f>
        <v>0.4013911620294599</v>
      </c>
      <c r="P41" s="5">
        <v>3</v>
      </c>
    </row>
    <row r="42" spans="1:16" s="2" customFormat="1" ht="15.75" thickBot="1">
      <c r="A42" s="7" t="s">
        <v>62</v>
      </c>
      <c r="B42" s="8" t="s">
        <v>8</v>
      </c>
      <c r="C42" s="76">
        <v>774</v>
      </c>
      <c r="D42" s="76">
        <v>795</v>
      </c>
      <c r="E42" s="76">
        <v>797</v>
      </c>
      <c r="F42" s="76">
        <v>802</v>
      </c>
      <c r="G42" s="76">
        <v>811</v>
      </c>
      <c r="H42" s="76">
        <v>825</v>
      </c>
      <c r="I42" s="76">
        <v>862</v>
      </c>
      <c r="J42" s="76">
        <v>910</v>
      </c>
      <c r="K42" s="9">
        <v>934</v>
      </c>
      <c r="L42" s="75" t="s">
        <v>15</v>
      </c>
      <c r="M42" s="19" t="s">
        <v>11</v>
      </c>
      <c r="N42" s="14">
        <v>222</v>
      </c>
      <c r="O42" s="15">
        <f>SUM(N42/N45)</f>
        <v>3.0278232405891982E-2</v>
      </c>
      <c r="P42" s="5"/>
    </row>
    <row r="43" spans="1:16" s="2" customFormat="1" ht="15.75" thickBot="1">
      <c r="A43" s="7" t="s">
        <v>63</v>
      </c>
      <c r="B43" s="20" t="s">
        <v>3</v>
      </c>
      <c r="C43" s="76">
        <v>705</v>
      </c>
      <c r="D43" s="76">
        <v>718</v>
      </c>
      <c r="E43" s="76">
        <v>724</v>
      </c>
      <c r="F43" s="76">
        <v>726</v>
      </c>
      <c r="G43" s="76">
        <v>753</v>
      </c>
      <c r="H43" s="76">
        <v>772</v>
      </c>
      <c r="I43" s="76">
        <v>815</v>
      </c>
      <c r="J43" s="9">
        <v>1066</v>
      </c>
      <c r="K43" s="9"/>
      <c r="L43" s="11" t="s">
        <v>10</v>
      </c>
      <c r="M43" s="21" t="s">
        <v>13</v>
      </c>
      <c r="N43" s="14">
        <v>157</v>
      </c>
      <c r="O43" s="15">
        <f>SUM(N43/N45)</f>
        <v>2.1412984178941625E-2</v>
      </c>
      <c r="P43" s="5"/>
    </row>
    <row r="44" spans="1:16" s="2" customFormat="1" ht="15.75" thickBot="1">
      <c r="A44" s="7" t="s">
        <v>64</v>
      </c>
      <c r="B44" s="8" t="s">
        <v>8</v>
      </c>
      <c r="C44" s="76">
        <v>623</v>
      </c>
      <c r="D44" s="76">
        <v>637</v>
      </c>
      <c r="E44" s="76">
        <v>637</v>
      </c>
      <c r="F44" s="76">
        <v>653</v>
      </c>
      <c r="G44" s="76">
        <v>657</v>
      </c>
      <c r="H44" s="76">
        <v>674</v>
      </c>
      <c r="I44" s="76">
        <v>701</v>
      </c>
      <c r="J44" s="76">
        <v>785</v>
      </c>
      <c r="K44" s="9">
        <v>823</v>
      </c>
      <c r="L44" s="75" t="s">
        <v>14</v>
      </c>
      <c r="M44" s="6" t="s">
        <v>17</v>
      </c>
      <c r="N44" s="38">
        <f>SUM(C39+C48)</f>
        <v>1374</v>
      </c>
      <c r="O44" s="39">
        <f>SUM(N44/N45)</f>
        <v>0.18739770867430441</v>
      </c>
      <c r="P44" s="2">
        <v>1</v>
      </c>
    </row>
    <row r="45" spans="1:16" s="2" customFormat="1" ht="15.75" thickBot="1">
      <c r="A45" s="7" t="s">
        <v>65</v>
      </c>
      <c r="B45" s="8" t="s">
        <v>8</v>
      </c>
      <c r="C45" s="76">
        <v>577</v>
      </c>
      <c r="D45" s="76">
        <v>589</v>
      </c>
      <c r="E45" s="76">
        <v>590</v>
      </c>
      <c r="F45" s="76">
        <v>630</v>
      </c>
      <c r="G45" s="76">
        <v>652</v>
      </c>
      <c r="H45" s="76">
        <v>673</v>
      </c>
      <c r="I45" s="76">
        <v>780</v>
      </c>
      <c r="J45" s="76">
        <v>790</v>
      </c>
      <c r="K45" s="9">
        <v>798</v>
      </c>
      <c r="L45" s="75" t="s">
        <v>57</v>
      </c>
      <c r="N45" s="22">
        <v>7332</v>
      </c>
    </row>
    <row r="46" spans="1:16" s="2" customFormat="1" ht="15.75" thickBot="1">
      <c r="A46" s="17" t="s">
        <v>66</v>
      </c>
      <c r="B46" s="23" t="s">
        <v>8</v>
      </c>
      <c r="C46" s="80">
        <v>518</v>
      </c>
      <c r="D46" s="76">
        <v>527</v>
      </c>
      <c r="E46" s="76">
        <v>541</v>
      </c>
      <c r="F46" s="76">
        <v>578</v>
      </c>
      <c r="G46" s="76">
        <v>592</v>
      </c>
      <c r="H46" s="76">
        <v>605</v>
      </c>
      <c r="I46" s="76">
        <v>628</v>
      </c>
      <c r="J46" s="76">
        <v>673</v>
      </c>
      <c r="K46" s="76">
        <v>702</v>
      </c>
      <c r="L46" s="75"/>
    </row>
    <row r="47" spans="1:16" s="2" customFormat="1" ht="15.75" thickBot="1">
      <c r="A47" s="17" t="s">
        <v>67</v>
      </c>
      <c r="B47" s="25" t="s">
        <v>3</v>
      </c>
      <c r="C47" s="76">
        <v>426</v>
      </c>
      <c r="D47" s="76">
        <v>454</v>
      </c>
      <c r="E47" s="76">
        <v>461</v>
      </c>
      <c r="F47" s="76">
        <v>461</v>
      </c>
      <c r="G47" s="76">
        <v>473</v>
      </c>
      <c r="H47" s="76">
        <v>479</v>
      </c>
      <c r="I47" s="76">
        <v>515</v>
      </c>
      <c r="J47" s="76" t="s">
        <v>16</v>
      </c>
    </row>
    <row r="48" spans="1:16" s="2" customFormat="1" ht="15.75" thickBot="1">
      <c r="A48" s="17" t="s">
        <v>68</v>
      </c>
      <c r="B48" s="78" t="s">
        <v>42</v>
      </c>
      <c r="C48" s="76">
        <v>302</v>
      </c>
      <c r="D48" s="76">
        <v>306</v>
      </c>
      <c r="E48" s="76">
        <v>310</v>
      </c>
      <c r="F48" s="76">
        <v>314</v>
      </c>
      <c r="G48" s="76">
        <v>363</v>
      </c>
      <c r="H48" s="76">
        <v>448</v>
      </c>
      <c r="I48" s="76" t="s">
        <v>16</v>
      </c>
    </row>
    <row r="49" spans="1:15" s="2" customFormat="1" ht="15.75" thickBot="1">
      <c r="A49" s="17" t="s">
        <v>69</v>
      </c>
      <c r="B49" s="18" t="s">
        <v>11</v>
      </c>
      <c r="C49" s="76">
        <v>222</v>
      </c>
      <c r="D49" s="76">
        <v>223</v>
      </c>
      <c r="E49" s="76">
        <v>225</v>
      </c>
      <c r="F49" s="76">
        <v>231</v>
      </c>
      <c r="G49" s="76">
        <v>244</v>
      </c>
      <c r="H49" s="76" t="s">
        <v>16</v>
      </c>
    </row>
    <row r="50" spans="1:15" s="2" customFormat="1" ht="15.75" thickBot="1">
      <c r="A50" s="17" t="s">
        <v>70</v>
      </c>
      <c r="B50" s="24" t="s">
        <v>13</v>
      </c>
      <c r="C50" s="80">
        <v>157</v>
      </c>
      <c r="D50" s="76">
        <v>161</v>
      </c>
      <c r="E50" s="76">
        <v>166</v>
      </c>
      <c r="F50" s="76">
        <v>173</v>
      </c>
      <c r="G50" s="76" t="s">
        <v>16</v>
      </c>
      <c r="H50" s="82"/>
    </row>
    <row r="51" spans="1:15" s="2" customFormat="1" ht="15.75" thickBot="1">
      <c r="A51" s="17" t="s">
        <v>71</v>
      </c>
      <c r="B51" s="23" t="s">
        <v>8</v>
      </c>
      <c r="C51" s="76">
        <v>144</v>
      </c>
      <c r="D51" s="76">
        <v>148</v>
      </c>
      <c r="E51" s="76">
        <v>154</v>
      </c>
      <c r="F51" s="76" t="s">
        <v>16</v>
      </c>
      <c r="G51" s="81"/>
      <c r="H51" s="82"/>
    </row>
    <row r="52" spans="1:15" s="2" customFormat="1" ht="14.25"/>
    <row r="53" spans="1:15" s="2" customFormat="1" ht="14.25">
      <c r="A53" s="1" t="s">
        <v>72</v>
      </c>
    </row>
    <row r="54" spans="1:15" s="2" customFormat="1" ht="9.75" customHeight="1" thickBot="1">
      <c r="A54" s="1"/>
    </row>
    <row r="55" spans="1:15" s="2" customFormat="1" ht="15.75" thickBot="1">
      <c r="A55" s="3" t="s">
        <v>0</v>
      </c>
      <c r="B55" s="4" t="s">
        <v>1</v>
      </c>
      <c r="C55" s="4" t="s">
        <v>2</v>
      </c>
      <c r="D55" s="4">
        <v>2</v>
      </c>
      <c r="E55" s="4">
        <v>3</v>
      </c>
      <c r="F55" s="4">
        <v>4</v>
      </c>
      <c r="G55" s="4">
        <v>5</v>
      </c>
      <c r="H55" s="4">
        <v>6</v>
      </c>
      <c r="I55" s="4">
        <v>7</v>
      </c>
      <c r="J55" s="4">
        <v>8</v>
      </c>
      <c r="K55" s="4"/>
      <c r="L55" s="6" t="s">
        <v>289</v>
      </c>
      <c r="M55" s="39">
        <f>(6746/8831)</f>
        <v>0.763899898086287</v>
      </c>
    </row>
    <row r="56" spans="1:15" s="2" customFormat="1" ht="15.75" thickBot="1">
      <c r="A56" s="7" t="s">
        <v>74</v>
      </c>
      <c r="B56" s="20" t="s">
        <v>3</v>
      </c>
      <c r="C56" s="76">
        <v>906</v>
      </c>
      <c r="D56" s="76">
        <v>910</v>
      </c>
      <c r="E56" s="9">
        <v>1006</v>
      </c>
      <c r="F56" s="9"/>
      <c r="G56" s="9"/>
      <c r="H56" s="9"/>
      <c r="I56" s="9"/>
      <c r="J56" s="9"/>
      <c r="K56" s="11" t="s">
        <v>4</v>
      </c>
      <c r="L56" s="5"/>
      <c r="M56" s="6" t="s">
        <v>5</v>
      </c>
      <c r="N56" s="6" t="s">
        <v>6</v>
      </c>
      <c r="O56" s="6" t="s">
        <v>7</v>
      </c>
    </row>
    <row r="57" spans="1:15" s="2" customFormat="1" ht="15.75" thickBot="1">
      <c r="A57" s="7" t="s">
        <v>121</v>
      </c>
      <c r="B57" s="8" t="s">
        <v>8</v>
      </c>
      <c r="C57" s="76">
        <v>803</v>
      </c>
      <c r="D57" s="76">
        <v>805</v>
      </c>
      <c r="E57" s="76">
        <v>807</v>
      </c>
      <c r="F57" s="76">
        <v>807</v>
      </c>
      <c r="G57" s="76">
        <v>910</v>
      </c>
      <c r="H57" s="9">
        <v>951</v>
      </c>
      <c r="I57" s="9"/>
      <c r="J57" s="9"/>
      <c r="K57" s="11" t="s">
        <v>9</v>
      </c>
      <c r="L57" s="13" t="s">
        <v>8</v>
      </c>
      <c r="M57" s="14">
        <f>SUM(C57+C58+C61+C64)</f>
        <v>2500</v>
      </c>
      <c r="N57" s="15">
        <f>SUM(M57/M63)</f>
        <v>0.37571385632702137</v>
      </c>
      <c r="O57" s="5">
        <v>3</v>
      </c>
    </row>
    <row r="58" spans="1:15" s="2" customFormat="1" ht="15.75" thickBot="1">
      <c r="A58" s="7" t="s">
        <v>75</v>
      </c>
      <c r="B58" s="8" t="s">
        <v>8</v>
      </c>
      <c r="C58" s="76">
        <v>647</v>
      </c>
      <c r="D58" s="76">
        <v>652</v>
      </c>
      <c r="E58" s="76">
        <v>683</v>
      </c>
      <c r="F58" s="76">
        <v>684</v>
      </c>
      <c r="G58" s="76">
        <v>750</v>
      </c>
      <c r="H58" s="76">
        <v>831</v>
      </c>
      <c r="I58" s="76">
        <v>865</v>
      </c>
      <c r="J58" s="9">
        <v>867</v>
      </c>
      <c r="K58" s="11" t="s">
        <v>15</v>
      </c>
      <c r="L58" s="16" t="s">
        <v>3</v>
      </c>
      <c r="M58" s="14">
        <f>SUM(C56+C60+C59+C66)</f>
        <v>2556</v>
      </c>
      <c r="N58" s="15">
        <f>SUM(M58/M63)</f>
        <v>0.38412984670874661</v>
      </c>
      <c r="O58" s="5">
        <v>2</v>
      </c>
    </row>
    <row r="59" spans="1:15" s="2" customFormat="1" ht="15.75" thickBot="1">
      <c r="A59" s="7" t="s">
        <v>76</v>
      </c>
      <c r="B59" s="20" t="s">
        <v>3</v>
      </c>
      <c r="C59" s="76">
        <v>615</v>
      </c>
      <c r="D59" s="76">
        <v>629</v>
      </c>
      <c r="E59" s="76">
        <v>758</v>
      </c>
      <c r="F59" s="76">
        <v>790</v>
      </c>
      <c r="G59" s="76">
        <v>794</v>
      </c>
      <c r="H59" s="76">
        <v>945</v>
      </c>
      <c r="I59" s="9">
        <v>959</v>
      </c>
      <c r="J59" s="9"/>
      <c r="K59" s="11" t="s">
        <v>12</v>
      </c>
      <c r="L59" s="19" t="s">
        <v>11</v>
      </c>
      <c r="M59" s="14">
        <v>447</v>
      </c>
      <c r="N59" s="15">
        <f>SUM(M59/M63)</f>
        <v>6.7177637511271412E-2</v>
      </c>
      <c r="O59" s="5"/>
    </row>
    <row r="60" spans="1:15" s="2" customFormat="1" ht="15.75" thickBot="1">
      <c r="A60" s="17" t="s">
        <v>77</v>
      </c>
      <c r="B60" s="25" t="s">
        <v>3</v>
      </c>
      <c r="C60" s="76">
        <v>603</v>
      </c>
      <c r="D60" s="76">
        <v>605</v>
      </c>
      <c r="E60" s="76">
        <v>654</v>
      </c>
      <c r="F60" s="76">
        <v>666</v>
      </c>
      <c r="G60" s="76">
        <v>688</v>
      </c>
      <c r="H60" s="76">
        <v>701</v>
      </c>
      <c r="I60" s="76">
        <v>835</v>
      </c>
      <c r="J60" s="76">
        <v>838</v>
      </c>
      <c r="K60" s="10"/>
      <c r="L60" s="21" t="s">
        <v>13</v>
      </c>
      <c r="M60" s="14">
        <v>91</v>
      </c>
      <c r="N60" s="15">
        <f>SUM(M60/M63)</f>
        <v>1.3675984370303576E-2</v>
      </c>
      <c r="O60" s="5"/>
    </row>
    <row r="61" spans="1:15" s="2" customFormat="1" ht="15.75" thickBot="1">
      <c r="A61" s="7" t="s">
        <v>78</v>
      </c>
      <c r="B61" s="8" t="s">
        <v>8</v>
      </c>
      <c r="C61" s="76">
        <v>596</v>
      </c>
      <c r="D61" s="76">
        <v>606</v>
      </c>
      <c r="E61" s="76">
        <v>665</v>
      </c>
      <c r="F61" s="76">
        <v>669</v>
      </c>
      <c r="G61" s="76">
        <v>753</v>
      </c>
      <c r="H61" s="76">
        <v>791</v>
      </c>
      <c r="I61" s="76">
        <v>843</v>
      </c>
      <c r="J61" s="9">
        <v>844</v>
      </c>
      <c r="K61" s="11" t="s">
        <v>14</v>
      </c>
      <c r="L61" s="79" t="s">
        <v>26</v>
      </c>
      <c r="M61" s="14">
        <v>538</v>
      </c>
      <c r="N61" s="15">
        <f>SUM(M61/M63)</f>
        <v>8.0853621881574994E-2</v>
      </c>
      <c r="O61" s="5">
        <v>1</v>
      </c>
    </row>
    <row r="62" spans="1:15" s="2" customFormat="1" ht="15.75" thickBot="1">
      <c r="A62" s="7" t="s">
        <v>243</v>
      </c>
      <c r="B62" s="84" t="s">
        <v>26</v>
      </c>
      <c r="C62" s="76">
        <v>538</v>
      </c>
      <c r="D62" s="76">
        <v>546</v>
      </c>
      <c r="E62" s="76">
        <v>573</v>
      </c>
      <c r="F62" s="76">
        <v>576</v>
      </c>
      <c r="G62" s="76">
        <v>687</v>
      </c>
      <c r="H62" s="76">
        <v>727</v>
      </c>
      <c r="I62" s="76">
        <v>883</v>
      </c>
      <c r="J62" s="9">
        <v>885</v>
      </c>
      <c r="K62" s="11" t="s">
        <v>10</v>
      </c>
      <c r="L62" s="26" t="s">
        <v>17</v>
      </c>
      <c r="M62" s="14">
        <v>522</v>
      </c>
      <c r="N62" s="15">
        <f>SUM(M62/M63)</f>
        <v>7.8449053201082058E-2</v>
      </c>
      <c r="O62" s="5"/>
    </row>
    <row r="63" spans="1:15" s="2" customFormat="1" ht="15.75" thickBot="1">
      <c r="A63" s="17" t="s">
        <v>73</v>
      </c>
      <c r="B63" s="41" t="s">
        <v>18</v>
      </c>
      <c r="C63" s="76">
        <v>522</v>
      </c>
      <c r="D63" s="76">
        <v>529</v>
      </c>
      <c r="E63" s="76">
        <v>532</v>
      </c>
      <c r="F63" s="76">
        <v>535</v>
      </c>
      <c r="G63" s="76">
        <v>583</v>
      </c>
      <c r="H63" s="76">
        <v>617</v>
      </c>
      <c r="I63" s="9" t="s">
        <v>16</v>
      </c>
      <c r="M63" s="22">
        <v>6654</v>
      </c>
    </row>
    <row r="64" spans="1:15" s="2" customFormat="1" ht="15.75" thickBot="1">
      <c r="A64" s="17" t="s">
        <v>79</v>
      </c>
      <c r="B64" s="23" t="s">
        <v>8</v>
      </c>
      <c r="C64" s="76">
        <v>454</v>
      </c>
      <c r="D64" s="76">
        <v>456</v>
      </c>
      <c r="E64" s="76">
        <v>467</v>
      </c>
      <c r="F64" s="76">
        <v>467</v>
      </c>
      <c r="G64" s="76" t="s">
        <v>16</v>
      </c>
      <c r="L64" s="21"/>
      <c r="M64" s="14"/>
      <c r="N64" s="15"/>
      <c r="O64" s="5"/>
    </row>
    <row r="65" spans="1:13" s="2" customFormat="1" ht="15.75" thickBot="1">
      <c r="A65" s="17" t="s">
        <v>80</v>
      </c>
      <c r="B65" s="18" t="s">
        <v>11</v>
      </c>
      <c r="C65" s="76">
        <v>447</v>
      </c>
      <c r="D65" s="76">
        <v>458</v>
      </c>
      <c r="E65" s="76">
        <v>476</v>
      </c>
      <c r="F65" s="76">
        <v>476</v>
      </c>
      <c r="G65" s="76">
        <v>489</v>
      </c>
      <c r="H65" s="76" t="s">
        <v>16</v>
      </c>
      <c r="M65" s="22"/>
    </row>
    <row r="66" spans="1:13" s="2" customFormat="1" ht="15.75" thickBot="1">
      <c r="A66" s="17" t="s">
        <v>81</v>
      </c>
      <c r="B66" s="25" t="s">
        <v>3</v>
      </c>
      <c r="C66" s="76">
        <v>432</v>
      </c>
      <c r="D66" s="76">
        <v>442</v>
      </c>
      <c r="E66" s="76" t="s">
        <v>16</v>
      </c>
      <c r="G66" s="38"/>
      <c r="H66" s="38"/>
      <c r="I66" s="38"/>
    </row>
    <row r="67" spans="1:13" s="2" customFormat="1" ht="15.75" thickBot="1">
      <c r="A67" s="17" t="s">
        <v>82</v>
      </c>
      <c r="B67" s="24" t="s">
        <v>13</v>
      </c>
      <c r="C67" s="76">
        <v>91</v>
      </c>
      <c r="D67" s="76" t="s">
        <v>16</v>
      </c>
      <c r="G67" s="38"/>
      <c r="H67" s="38"/>
      <c r="I67" s="38"/>
    </row>
    <row r="68" spans="1:13" s="2" customFormat="1" ht="15">
      <c r="A68" s="40"/>
    </row>
    <row r="69" spans="1:13">
      <c r="A69" s="27"/>
      <c r="B69" s="27" t="s">
        <v>19</v>
      </c>
      <c r="C69" s="28" t="s">
        <v>8</v>
      </c>
      <c r="D69" s="29" t="s">
        <v>3</v>
      </c>
      <c r="E69" s="30" t="s">
        <v>13</v>
      </c>
      <c r="F69" s="31" t="s">
        <v>11</v>
      </c>
      <c r="G69" s="83" t="s">
        <v>26</v>
      </c>
      <c r="H69" s="27" t="s">
        <v>17</v>
      </c>
    </row>
    <row r="70" spans="1:13" ht="14.25">
      <c r="A70" s="32" t="s">
        <v>5</v>
      </c>
      <c r="B70" s="33">
        <f>SUM(M63+N45+P27+O8)</f>
        <v>27557</v>
      </c>
      <c r="C70" s="34">
        <f>SUM(M57+N40+P21+O5)</f>
        <v>10786</v>
      </c>
      <c r="D70" s="34">
        <f>SUM(M58+N41+P22+O6)</f>
        <v>10747</v>
      </c>
      <c r="E70" s="34">
        <f>SUM(M60+N43+P24)</f>
        <v>579</v>
      </c>
      <c r="F70" s="34">
        <f>SUM(M59+N42+P23+O7)</f>
        <v>1816</v>
      </c>
      <c r="G70" s="34">
        <f>SUM(M61+P25)</f>
        <v>1082</v>
      </c>
      <c r="H70" s="34">
        <f>SUM(N44+P26+M62)</f>
        <v>2547</v>
      </c>
    </row>
    <row r="71" spans="1:13" ht="14.25">
      <c r="A71" s="32" t="s">
        <v>6</v>
      </c>
      <c r="B71" s="35">
        <v>1</v>
      </c>
      <c r="C71" s="36">
        <f t="shared" ref="C71:H71" si="0">SUM(C70/$B$70)</f>
        <v>0.39140690205755341</v>
      </c>
      <c r="D71" s="36">
        <f t="shared" si="0"/>
        <v>0.38999165366331606</v>
      </c>
      <c r="E71" s="36">
        <f t="shared" si="0"/>
        <v>2.1010995391370614E-2</v>
      </c>
      <c r="F71" s="36">
        <f t="shared" si="0"/>
        <v>6.5899771382951694E-2</v>
      </c>
      <c r="G71" s="36">
        <f t="shared" si="0"/>
        <v>3.9264070834996549E-2</v>
      </c>
      <c r="H71" s="36">
        <f t="shared" si="0"/>
        <v>9.2426606669811659E-2</v>
      </c>
    </row>
    <row r="72" spans="1:13" ht="14.25">
      <c r="A72" s="32" t="s">
        <v>7</v>
      </c>
      <c r="B72" s="27">
        <v>25</v>
      </c>
      <c r="C72">
        <v>12</v>
      </c>
      <c r="D72">
        <v>10</v>
      </c>
      <c r="E72">
        <v>0</v>
      </c>
      <c r="F72">
        <v>1</v>
      </c>
      <c r="G72">
        <v>1</v>
      </c>
      <c r="H72">
        <v>1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5"/>
  <sheetViews>
    <sheetView workbookViewId="0">
      <selection activeCell="O1" sqref="O1"/>
    </sheetView>
  </sheetViews>
  <sheetFormatPr defaultRowHeight="12.75"/>
  <cols>
    <col min="1" max="1" width="20.28515625" customWidth="1"/>
  </cols>
  <sheetData>
    <row r="1" spans="1:15" s="2" customFormat="1" ht="14.25">
      <c r="A1" s="1" t="s">
        <v>266</v>
      </c>
    </row>
    <row r="2" spans="1:15" s="2" customFormat="1" ht="9" customHeight="1" thickBot="1">
      <c r="A2" s="1"/>
    </row>
    <row r="3" spans="1:15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(5606/7166)</f>
        <v>0.78230533072843988</v>
      </c>
    </row>
    <row r="4" spans="1:15" s="2" customFormat="1" ht="15.75" thickBot="1">
      <c r="A4" s="7" t="s">
        <v>29</v>
      </c>
      <c r="B4" s="8" t="s">
        <v>8</v>
      </c>
      <c r="C4" s="76">
        <v>866</v>
      </c>
      <c r="D4" s="76">
        <v>891</v>
      </c>
      <c r="E4" s="9">
        <v>936</v>
      </c>
      <c r="F4" s="76"/>
      <c r="G4" s="76"/>
      <c r="H4" s="76"/>
      <c r="I4" s="76"/>
      <c r="J4" s="75" t="s">
        <v>9</v>
      </c>
      <c r="K4" s="5"/>
      <c r="L4" s="6" t="s">
        <v>5</v>
      </c>
      <c r="M4" s="6" t="s">
        <v>6</v>
      </c>
      <c r="N4" s="6" t="s">
        <v>7</v>
      </c>
    </row>
    <row r="5" spans="1:15" s="2" customFormat="1" ht="15.75" thickBot="1">
      <c r="A5" s="7" t="s">
        <v>197</v>
      </c>
      <c r="B5" s="8" t="s">
        <v>8</v>
      </c>
      <c r="C5" s="76">
        <v>863</v>
      </c>
      <c r="D5" s="76">
        <v>899</v>
      </c>
      <c r="E5" s="9">
        <v>1046</v>
      </c>
      <c r="F5" s="76"/>
      <c r="G5" s="76"/>
      <c r="H5" s="9"/>
      <c r="I5" s="76"/>
      <c r="J5" s="75" t="s">
        <v>4</v>
      </c>
      <c r="K5" s="13" t="s">
        <v>8</v>
      </c>
      <c r="L5" s="14">
        <f>SUM(C4+C5+C8+C10)</f>
        <v>2600</v>
      </c>
      <c r="M5" s="15">
        <f>SUM(L5/L8)</f>
        <v>0.47084389713871788</v>
      </c>
      <c r="N5" s="5">
        <v>3</v>
      </c>
    </row>
    <row r="6" spans="1:15" s="2" customFormat="1" ht="15.75" thickBot="1">
      <c r="A6" s="7" t="s">
        <v>30</v>
      </c>
      <c r="B6" s="20" t="s">
        <v>3</v>
      </c>
      <c r="C6" s="76">
        <v>827</v>
      </c>
      <c r="D6" s="76">
        <v>910</v>
      </c>
      <c r="E6" s="9">
        <v>933</v>
      </c>
      <c r="F6" s="76"/>
      <c r="G6" s="76"/>
      <c r="H6" s="76"/>
      <c r="I6" s="9"/>
      <c r="J6" s="75" t="s">
        <v>12</v>
      </c>
      <c r="K6" s="16" t="s">
        <v>3</v>
      </c>
      <c r="L6" s="14">
        <f>SUM(C6+C7+C9+C12+C13)</f>
        <v>2502</v>
      </c>
      <c r="M6" s="15">
        <f>SUM(L6/L8)</f>
        <v>0.45309670409272002</v>
      </c>
      <c r="N6" s="5">
        <v>2</v>
      </c>
    </row>
    <row r="7" spans="1:15" s="2" customFormat="1" ht="15.75" thickBot="1">
      <c r="A7" s="7" t="s">
        <v>267</v>
      </c>
      <c r="B7" s="20" t="s">
        <v>3</v>
      </c>
      <c r="C7" s="76">
        <v>465</v>
      </c>
      <c r="D7" s="76">
        <v>531</v>
      </c>
      <c r="E7" s="76">
        <v>621</v>
      </c>
      <c r="F7" s="76">
        <v>661</v>
      </c>
      <c r="G7" s="76">
        <v>675</v>
      </c>
      <c r="H7" s="76">
        <v>860</v>
      </c>
      <c r="I7" s="9">
        <v>862</v>
      </c>
      <c r="J7" s="75" t="s">
        <v>10</v>
      </c>
      <c r="K7" s="6" t="s">
        <v>17</v>
      </c>
      <c r="L7" s="38">
        <v>420</v>
      </c>
      <c r="M7" s="39">
        <f>SUM(L7/L8)</f>
        <v>7.6059398768562117E-2</v>
      </c>
    </row>
    <row r="8" spans="1:15" s="2" customFormat="1" ht="15.75" thickBot="1">
      <c r="A8" s="7" t="s">
        <v>106</v>
      </c>
      <c r="B8" s="8" t="s">
        <v>8</v>
      </c>
      <c r="C8" s="76">
        <v>438</v>
      </c>
      <c r="D8" s="76">
        <v>468</v>
      </c>
      <c r="E8" s="76">
        <v>494</v>
      </c>
      <c r="F8" s="76">
        <v>529</v>
      </c>
      <c r="G8" s="76">
        <v>726</v>
      </c>
      <c r="H8" s="76">
        <v>813</v>
      </c>
      <c r="I8" s="9">
        <v>826</v>
      </c>
      <c r="J8" s="75" t="s">
        <v>15</v>
      </c>
      <c r="L8" s="22">
        <v>5522</v>
      </c>
    </row>
    <row r="9" spans="1:15" s="2" customFormat="1" ht="15.75" thickBot="1">
      <c r="A9" s="17" t="s">
        <v>268</v>
      </c>
      <c r="B9" s="25" t="s">
        <v>3</v>
      </c>
      <c r="C9" s="76">
        <v>435</v>
      </c>
      <c r="D9" s="76">
        <v>469</v>
      </c>
      <c r="E9" s="76">
        <v>489</v>
      </c>
      <c r="F9" s="76">
        <v>496</v>
      </c>
      <c r="G9" s="76">
        <v>679</v>
      </c>
      <c r="H9" s="76">
        <v>802</v>
      </c>
      <c r="I9" s="76">
        <v>802</v>
      </c>
      <c r="J9" s="75"/>
    </row>
    <row r="10" spans="1:15" s="2" customFormat="1" ht="15.75" thickBot="1">
      <c r="A10" s="17" t="s">
        <v>198</v>
      </c>
      <c r="B10" s="23" t="s">
        <v>8</v>
      </c>
      <c r="C10" s="76">
        <v>433</v>
      </c>
      <c r="D10" s="76">
        <v>437</v>
      </c>
      <c r="E10" s="76">
        <v>447</v>
      </c>
      <c r="F10" s="76">
        <v>460</v>
      </c>
      <c r="G10" s="76" t="s">
        <v>16</v>
      </c>
    </row>
    <row r="11" spans="1:15" s="2" customFormat="1" ht="15.75" thickBot="1">
      <c r="A11" s="17" t="s">
        <v>269</v>
      </c>
      <c r="B11" s="10" t="s">
        <v>18</v>
      </c>
      <c r="C11" s="76">
        <v>420</v>
      </c>
      <c r="D11" s="76">
        <v>434</v>
      </c>
      <c r="E11" s="76" t="s">
        <v>16</v>
      </c>
      <c r="F11" s="38"/>
      <c r="G11" s="38"/>
      <c r="H11" s="38"/>
      <c r="I11" s="38"/>
      <c r="J11" s="38"/>
      <c r="K11" s="38"/>
      <c r="L11" s="38"/>
      <c r="M11" s="19"/>
      <c r="N11" s="38"/>
      <c r="O11" s="39"/>
    </row>
    <row r="12" spans="1:15" s="2" customFormat="1" ht="15.75" thickBot="1">
      <c r="A12" s="17" t="s">
        <v>135</v>
      </c>
      <c r="B12" s="25" t="s">
        <v>3</v>
      </c>
      <c r="C12" s="76">
        <v>399</v>
      </c>
      <c r="D12" s="76">
        <v>477</v>
      </c>
      <c r="E12" s="76">
        <v>490</v>
      </c>
      <c r="F12" s="76">
        <v>497</v>
      </c>
      <c r="G12" s="76">
        <v>499</v>
      </c>
      <c r="H12" s="76" t="s">
        <v>16</v>
      </c>
      <c r="I12" s="38"/>
      <c r="J12" s="38"/>
      <c r="K12" s="38"/>
      <c r="L12" s="38"/>
      <c r="N12" s="22"/>
    </row>
    <row r="13" spans="1:15" s="2" customFormat="1" ht="15.75" thickBot="1">
      <c r="A13" s="17" t="s">
        <v>270</v>
      </c>
      <c r="B13" s="25" t="s">
        <v>3</v>
      </c>
      <c r="C13" s="76">
        <v>376</v>
      </c>
      <c r="D13" s="76" t="s">
        <v>16</v>
      </c>
      <c r="E13" s="38"/>
      <c r="F13" s="38"/>
      <c r="G13" s="38"/>
      <c r="H13" s="38"/>
      <c r="I13" s="38"/>
      <c r="J13" s="38"/>
      <c r="K13" s="38"/>
      <c r="L13" s="38"/>
    </row>
    <row r="14" spans="1:15" s="2" customFormat="1" ht="14.25"/>
    <row r="15" spans="1:15" s="2" customFormat="1" ht="14.25">
      <c r="A15" s="1" t="s">
        <v>278</v>
      </c>
    </row>
    <row r="16" spans="1:15" s="2" customFormat="1" ht="9.75" customHeight="1" thickBot="1">
      <c r="A16" s="1"/>
    </row>
    <row r="17" spans="1:16" s="2" customFormat="1" ht="15.75" thickBot="1">
      <c r="A17" s="3" t="s">
        <v>0</v>
      </c>
      <c r="B17" s="4" t="s">
        <v>1</v>
      </c>
      <c r="C17" s="4" t="s">
        <v>2</v>
      </c>
      <c r="D17" s="4">
        <v>2</v>
      </c>
      <c r="E17" s="4">
        <v>3</v>
      </c>
      <c r="F17" s="4">
        <v>4</v>
      </c>
      <c r="G17" s="4">
        <v>5</v>
      </c>
      <c r="H17" s="4">
        <v>6</v>
      </c>
      <c r="I17" s="4">
        <v>7</v>
      </c>
      <c r="J17" s="4">
        <v>8</v>
      </c>
      <c r="K17" s="4">
        <v>9</v>
      </c>
      <c r="L17" s="4"/>
      <c r="M17" s="6" t="s">
        <v>289</v>
      </c>
      <c r="N17" s="39">
        <f>(8667/11586)</f>
        <v>0.74805800103573283</v>
      </c>
    </row>
    <row r="18" spans="1:16" s="2" customFormat="1" ht="15.75" thickBot="1">
      <c r="A18" s="7" t="s">
        <v>56</v>
      </c>
      <c r="B18" s="20" t="s">
        <v>3</v>
      </c>
      <c r="C18" s="9">
        <v>1230</v>
      </c>
      <c r="D18" s="76"/>
      <c r="E18" s="9"/>
      <c r="F18" s="76"/>
      <c r="G18" s="76"/>
      <c r="H18" s="76"/>
      <c r="I18" s="76"/>
      <c r="J18" s="76"/>
      <c r="K18" s="76"/>
      <c r="L18" s="75" t="s">
        <v>4</v>
      </c>
      <c r="M18" s="5"/>
      <c r="N18" s="6" t="s">
        <v>5</v>
      </c>
      <c r="O18" s="6" t="s">
        <v>6</v>
      </c>
      <c r="P18" s="6" t="s">
        <v>7</v>
      </c>
    </row>
    <row r="19" spans="1:16" s="2" customFormat="1" ht="15.75" thickBot="1">
      <c r="A19" s="7" t="s">
        <v>272</v>
      </c>
      <c r="B19" s="8" t="s">
        <v>8</v>
      </c>
      <c r="C19" s="76">
        <v>978</v>
      </c>
      <c r="D19" s="76">
        <v>983</v>
      </c>
      <c r="E19" s="76">
        <v>989</v>
      </c>
      <c r="F19" s="9">
        <v>1098</v>
      </c>
      <c r="G19" s="76"/>
      <c r="H19" s="9"/>
      <c r="I19" s="9"/>
      <c r="J19" s="76"/>
      <c r="K19" s="9"/>
      <c r="L19" s="75" t="s">
        <v>9</v>
      </c>
      <c r="M19" s="13" t="s">
        <v>8</v>
      </c>
      <c r="N19" s="14">
        <f>SUM(C19+C20+C26+C27+C28)</f>
        <v>3509</v>
      </c>
      <c r="O19" s="15">
        <f>SUM(N19/N23)</f>
        <v>0.41146810506566606</v>
      </c>
      <c r="P19" s="5">
        <v>3</v>
      </c>
    </row>
    <row r="20" spans="1:16" s="2" customFormat="1" ht="15.75" thickBot="1">
      <c r="A20" s="7" t="s">
        <v>55</v>
      </c>
      <c r="B20" s="8" t="s">
        <v>8</v>
      </c>
      <c r="C20" s="76">
        <v>972</v>
      </c>
      <c r="D20" s="76">
        <v>978</v>
      </c>
      <c r="E20" s="76">
        <v>993</v>
      </c>
      <c r="F20" s="9">
        <v>1120</v>
      </c>
      <c r="G20" s="76"/>
      <c r="H20" s="76"/>
      <c r="I20" s="76"/>
      <c r="J20" s="76"/>
      <c r="K20" s="9"/>
      <c r="L20" s="75" t="s">
        <v>12</v>
      </c>
      <c r="M20" s="16" t="s">
        <v>3</v>
      </c>
      <c r="N20" s="14">
        <f>SUM(C18+C21+C23+C25)</f>
        <v>3481</v>
      </c>
      <c r="O20" s="15">
        <f>SUM(N20/N23)</f>
        <v>0.40818480300187615</v>
      </c>
      <c r="P20" s="5">
        <v>3</v>
      </c>
    </row>
    <row r="21" spans="1:16" s="2" customFormat="1" ht="15.75" thickBot="1">
      <c r="A21" s="7" t="s">
        <v>147</v>
      </c>
      <c r="B21" s="20" t="s">
        <v>3</v>
      </c>
      <c r="C21" s="76">
        <v>926</v>
      </c>
      <c r="D21" s="76">
        <v>929</v>
      </c>
      <c r="E21" s="76">
        <v>984</v>
      </c>
      <c r="F21" s="76">
        <v>992</v>
      </c>
      <c r="G21" s="76">
        <v>992</v>
      </c>
      <c r="H21" s="76">
        <v>992</v>
      </c>
      <c r="I21" s="9">
        <v>1254</v>
      </c>
      <c r="J21" s="76"/>
      <c r="K21" s="76"/>
      <c r="L21" s="75" t="s">
        <v>10</v>
      </c>
      <c r="M21" s="19" t="s">
        <v>11</v>
      </c>
      <c r="N21" s="14">
        <v>851</v>
      </c>
      <c r="O21" s="15">
        <f>SUM(N21/N23)</f>
        <v>9.9788930581613505E-2</v>
      </c>
      <c r="P21" s="5">
        <v>1</v>
      </c>
    </row>
    <row r="22" spans="1:16" s="2" customFormat="1" ht="15.75" thickBot="1">
      <c r="A22" s="7" t="s">
        <v>171</v>
      </c>
      <c r="B22" s="37" t="s">
        <v>11</v>
      </c>
      <c r="C22" s="76">
        <v>851</v>
      </c>
      <c r="D22" s="76">
        <v>860</v>
      </c>
      <c r="E22" s="76">
        <v>871</v>
      </c>
      <c r="F22" s="76">
        <v>886</v>
      </c>
      <c r="G22" s="76">
        <v>888</v>
      </c>
      <c r="H22" s="76">
        <v>890</v>
      </c>
      <c r="I22" s="76">
        <v>915</v>
      </c>
      <c r="J22" s="76">
        <v>928</v>
      </c>
      <c r="K22" s="9">
        <v>990</v>
      </c>
      <c r="L22" s="75" t="s">
        <v>57</v>
      </c>
      <c r="M22" s="26" t="s">
        <v>17</v>
      </c>
      <c r="N22" s="14">
        <f>SUM(C24+C29)</f>
        <v>687</v>
      </c>
      <c r="O22" s="15">
        <f>SUM(N22/N23)</f>
        <v>8.0558161350844273E-2</v>
      </c>
      <c r="P22" s="5"/>
    </row>
    <row r="23" spans="1:16" s="2" customFormat="1" ht="15.75" thickBot="1">
      <c r="A23" s="7" t="s">
        <v>273</v>
      </c>
      <c r="B23" s="20" t="s">
        <v>3</v>
      </c>
      <c r="C23" s="76">
        <v>746</v>
      </c>
      <c r="D23" s="76">
        <v>749</v>
      </c>
      <c r="E23" s="76">
        <v>782</v>
      </c>
      <c r="F23" s="76">
        <v>862</v>
      </c>
      <c r="G23" s="76">
        <v>875</v>
      </c>
      <c r="H23" s="76">
        <v>878</v>
      </c>
      <c r="I23" s="76">
        <v>962</v>
      </c>
      <c r="J23" s="9">
        <v>1089</v>
      </c>
      <c r="K23" s="9"/>
      <c r="L23" s="75" t="s">
        <v>15</v>
      </c>
      <c r="N23" s="22">
        <v>8528</v>
      </c>
    </row>
    <row r="24" spans="1:16" s="2" customFormat="1" ht="15.75" thickBot="1">
      <c r="A24" s="17" t="s">
        <v>274</v>
      </c>
      <c r="B24" s="41" t="s">
        <v>18</v>
      </c>
      <c r="C24" s="76">
        <v>646</v>
      </c>
      <c r="D24" s="76">
        <v>654</v>
      </c>
      <c r="E24" s="76">
        <v>662</v>
      </c>
      <c r="F24" s="76">
        <v>668</v>
      </c>
      <c r="G24" s="76">
        <v>669</v>
      </c>
      <c r="H24" s="76">
        <v>669</v>
      </c>
      <c r="I24" s="76">
        <v>733</v>
      </c>
      <c r="J24" s="76">
        <v>752</v>
      </c>
      <c r="K24" s="76">
        <v>824</v>
      </c>
      <c r="L24" s="76"/>
    </row>
    <row r="25" spans="1:16" s="2" customFormat="1" ht="15.75" thickBot="1">
      <c r="A25" s="17" t="s">
        <v>275</v>
      </c>
      <c r="B25" s="25" t="s">
        <v>3</v>
      </c>
      <c r="C25" s="76">
        <v>579</v>
      </c>
      <c r="D25" s="76">
        <v>582</v>
      </c>
      <c r="E25" s="76">
        <v>597</v>
      </c>
      <c r="F25" s="76">
        <v>599</v>
      </c>
      <c r="G25" s="76">
        <v>599</v>
      </c>
      <c r="H25" s="76">
        <v>599</v>
      </c>
      <c r="I25" s="76" t="s">
        <v>16</v>
      </c>
    </row>
    <row r="26" spans="1:16" s="2" customFormat="1" ht="15.75" thickBot="1">
      <c r="A26" s="7" t="s">
        <v>255</v>
      </c>
      <c r="B26" s="8" t="s">
        <v>8</v>
      </c>
      <c r="C26" s="76">
        <v>576</v>
      </c>
      <c r="D26" s="76">
        <v>576</v>
      </c>
      <c r="E26" s="76">
        <v>581</v>
      </c>
      <c r="F26" s="76">
        <v>607</v>
      </c>
      <c r="G26" s="76">
        <v>629</v>
      </c>
      <c r="H26" s="76">
        <v>643</v>
      </c>
      <c r="I26" s="76">
        <v>756</v>
      </c>
      <c r="J26" s="76">
        <v>771</v>
      </c>
      <c r="K26" s="9">
        <v>1081</v>
      </c>
      <c r="L26" s="75" t="s">
        <v>14</v>
      </c>
    </row>
    <row r="27" spans="1:16" s="2" customFormat="1" ht="15.75" thickBot="1">
      <c r="A27" s="17" t="s">
        <v>276</v>
      </c>
      <c r="B27" s="23" t="s">
        <v>8</v>
      </c>
      <c r="C27" s="76">
        <v>531</v>
      </c>
      <c r="D27" s="76">
        <v>532</v>
      </c>
      <c r="E27" s="76">
        <v>542</v>
      </c>
      <c r="F27" s="76">
        <v>614</v>
      </c>
      <c r="G27" s="76">
        <v>629</v>
      </c>
      <c r="H27" s="76">
        <v>641</v>
      </c>
      <c r="I27" s="76">
        <v>647</v>
      </c>
      <c r="J27" s="76">
        <v>651</v>
      </c>
      <c r="K27" s="76" t="s">
        <v>16</v>
      </c>
      <c r="M27" s="38"/>
    </row>
    <row r="28" spans="1:16" s="2" customFormat="1" ht="15.75" thickBot="1">
      <c r="A28" s="17" t="s">
        <v>271</v>
      </c>
      <c r="B28" s="23" t="s">
        <v>8</v>
      </c>
      <c r="C28" s="76">
        <v>452</v>
      </c>
      <c r="D28" s="76">
        <v>453</v>
      </c>
      <c r="E28" s="76">
        <v>458</v>
      </c>
      <c r="F28" s="76" t="s">
        <v>16</v>
      </c>
      <c r="I28" s="38"/>
      <c r="J28" s="38"/>
      <c r="K28" s="38"/>
      <c r="L28" s="38"/>
      <c r="M28" s="38"/>
    </row>
    <row r="29" spans="1:16" s="2" customFormat="1" ht="15.75" thickBot="1">
      <c r="A29" s="17" t="s">
        <v>277</v>
      </c>
      <c r="B29" s="10" t="s">
        <v>18</v>
      </c>
      <c r="C29" s="76">
        <v>41</v>
      </c>
      <c r="D29" s="76" t="s">
        <v>16</v>
      </c>
      <c r="F29" s="38"/>
      <c r="G29" s="38"/>
      <c r="H29" s="38"/>
      <c r="I29" s="38"/>
      <c r="J29" s="38"/>
      <c r="K29" s="38"/>
      <c r="L29" s="38"/>
      <c r="M29" s="38"/>
    </row>
    <row r="30" spans="1:16" s="2" customFormat="1" ht="14.25"/>
    <row r="31" spans="1:16" s="2" customFormat="1" ht="14.25">
      <c r="A31" s="1" t="s">
        <v>261</v>
      </c>
    </row>
    <row r="32" spans="1:16" s="2" customFormat="1" ht="9" customHeight="1" thickBot="1">
      <c r="A32" s="1"/>
    </row>
    <row r="33" spans="1:15" s="2" customFormat="1" ht="15.75" thickBot="1">
      <c r="A33" s="3" t="s">
        <v>0</v>
      </c>
      <c r="B33" s="4" t="s">
        <v>1</v>
      </c>
      <c r="C33" s="4" t="s">
        <v>2</v>
      </c>
      <c r="D33" s="4">
        <v>2</v>
      </c>
      <c r="E33" s="4">
        <v>3</v>
      </c>
      <c r="F33" s="4">
        <v>4</v>
      </c>
      <c r="G33" s="4">
        <v>5</v>
      </c>
      <c r="H33" s="4">
        <v>6</v>
      </c>
      <c r="I33" s="4">
        <v>7</v>
      </c>
      <c r="J33" s="4">
        <v>8</v>
      </c>
      <c r="K33" s="4"/>
      <c r="L33" s="6" t="s">
        <v>289</v>
      </c>
      <c r="M33" s="39">
        <f>(7630/10403)</f>
        <v>0.73344227626646163</v>
      </c>
    </row>
    <row r="34" spans="1:15" s="2" customFormat="1" ht="15.75" thickBot="1">
      <c r="A34" s="7" t="s">
        <v>59</v>
      </c>
      <c r="B34" s="42" t="s">
        <v>18</v>
      </c>
      <c r="C34" s="76">
        <v>934</v>
      </c>
      <c r="D34" s="9">
        <v>937</v>
      </c>
      <c r="E34" s="76"/>
      <c r="F34" s="76"/>
      <c r="G34" s="9"/>
      <c r="H34" s="76"/>
      <c r="I34" s="76"/>
      <c r="J34" s="9"/>
      <c r="K34" s="75" t="s">
        <v>4</v>
      </c>
      <c r="L34" s="5"/>
      <c r="M34" s="6" t="s">
        <v>5</v>
      </c>
      <c r="N34" s="6" t="s">
        <v>6</v>
      </c>
      <c r="O34" s="6" t="s">
        <v>7</v>
      </c>
    </row>
    <row r="35" spans="1:15" s="2" customFormat="1" ht="15.75" thickBot="1">
      <c r="A35" s="7" t="s">
        <v>206</v>
      </c>
      <c r="B35" s="8" t="s">
        <v>8</v>
      </c>
      <c r="C35" s="76">
        <v>800</v>
      </c>
      <c r="D35" s="76">
        <v>801</v>
      </c>
      <c r="E35" s="76">
        <v>871</v>
      </c>
      <c r="F35" s="9">
        <v>1085</v>
      </c>
      <c r="G35" s="9"/>
      <c r="H35" s="76"/>
      <c r="I35" s="76"/>
      <c r="J35" s="9"/>
      <c r="K35" s="75" t="s">
        <v>9</v>
      </c>
      <c r="L35" s="13" t="s">
        <v>8</v>
      </c>
      <c r="M35" s="14">
        <f>SUM(C37+C39+C40+C41+C46)</f>
        <v>2620</v>
      </c>
      <c r="N35" s="15">
        <f>SUM(M35/M39)</f>
        <v>0.35003340013360051</v>
      </c>
      <c r="O35" s="5">
        <v>3</v>
      </c>
    </row>
    <row r="36" spans="1:15" s="2" customFormat="1" ht="15.75" thickBot="1">
      <c r="A36" s="7" t="s">
        <v>63</v>
      </c>
      <c r="B36" s="20" t="s">
        <v>3</v>
      </c>
      <c r="C36" s="76">
        <v>756</v>
      </c>
      <c r="D36" s="76">
        <v>757</v>
      </c>
      <c r="E36" s="76">
        <v>761</v>
      </c>
      <c r="F36" s="76">
        <v>842</v>
      </c>
      <c r="G36" s="76">
        <v>856</v>
      </c>
      <c r="H36" s="76">
        <v>857</v>
      </c>
      <c r="I36" s="9">
        <v>1043</v>
      </c>
      <c r="J36" s="76"/>
      <c r="K36" s="75" t="s">
        <v>10</v>
      </c>
      <c r="L36" s="16" t="s">
        <v>3</v>
      </c>
      <c r="M36" s="14">
        <f>SUM(C35+C36+C38+C42)</f>
        <v>2842</v>
      </c>
      <c r="N36" s="15">
        <f>SUM(M36/M39)</f>
        <v>0.37969271877087507</v>
      </c>
      <c r="O36" s="5">
        <v>3</v>
      </c>
    </row>
    <row r="37" spans="1:15" s="2" customFormat="1" ht="15.75" thickBot="1">
      <c r="A37" s="7" t="s">
        <v>205</v>
      </c>
      <c r="B37" s="8" t="s">
        <v>8</v>
      </c>
      <c r="C37" s="76">
        <v>707</v>
      </c>
      <c r="D37" s="76">
        <v>718</v>
      </c>
      <c r="E37" s="76">
        <v>767</v>
      </c>
      <c r="F37" s="76">
        <v>819</v>
      </c>
      <c r="G37" s="76">
        <v>848</v>
      </c>
      <c r="H37" s="76">
        <v>880</v>
      </c>
      <c r="I37" s="9">
        <v>953</v>
      </c>
      <c r="J37" s="76"/>
      <c r="K37" s="75" t="s">
        <v>14</v>
      </c>
      <c r="L37" s="93" t="s">
        <v>265</v>
      </c>
      <c r="M37" s="14">
        <v>157</v>
      </c>
      <c r="N37" s="15">
        <f>SUM(M37/M39)</f>
        <v>2.0975283901135604E-2</v>
      </c>
      <c r="O37" s="5"/>
    </row>
    <row r="38" spans="1:15" s="2" customFormat="1" ht="15.75" thickBot="1">
      <c r="A38" s="7" t="s">
        <v>262</v>
      </c>
      <c r="B38" s="20" t="s">
        <v>3</v>
      </c>
      <c r="C38" s="76">
        <v>685</v>
      </c>
      <c r="D38" s="76">
        <v>692</v>
      </c>
      <c r="E38" s="76">
        <v>795</v>
      </c>
      <c r="F38" s="76">
        <v>801</v>
      </c>
      <c r="G38" s="76">
        <v>801</v>
      </c>
      <c r="H38" s="76">
        <v>801</v>
      </c>
      <c r="I38" s="9">
        <v>957</v>
      </c>
      <c r="J38" s="9"/>
      <c r="K38" s="11" t="s">
        <v>15</v>
      </c>
      <c r="L38" s="6" t="s">
        <v>17</v>
      </c>
      <c r="M38" s="38">
        <f>SUM(C34+C43)</f>
        <v>1534</v>
      </c>
      <c r="N38" s="39">
        <f>SUM(M38/M39)</f>
        <v>0.2049432197728791</v>
      </c>
      <c r="O38" s="2">
        <v>1</v>
      </c>
    </row>
    <row r="39" spans="1:15" s="2" customFormat="1" ht="15.75" thickBot="1">
      <c r="A39" s="7" t="s">
        <v>263</v>
      </c>
      <c r="B39" s="8" t="s">
        <v>8</v>
      </c>
      <c r="C39" s="76">
        <v>632</v>
      </c>
      <c r="D39" s="76">
        <v>639</v>
      </c>
      <c r="E39" s="76">
        <v>771</v>
      </c>
      <c r="F39" s="76">
        <v>895</v>
      </c>
      <c r="G39" s="9">
        <v>976</v>
      </c>
      <c r="H39" s="76"/>
      <c r="I39" s="76"/>
      <c r="J39" s="76"/>
      <c r="K39" s="75" t="s">
        <v>12</v>
      </c>
      <c r="M39" s="22">
        <v>7485</v>
      </c>
    </row>
    <row r="40" spans="1:15" s="2" customFormat="1" ht="15.75" thickBot="1">
      <c r="A40" s="7" t="s">
        <v>67</v>
      </c>
      <c r="B40" s="20" t="s">
        <v>3</v>
      </c>
      <c r="C40" s="76">
        <v>625</v>
      </c>
      <c r="D40" s="76">
        <v>629</v>
      </c>
      <c r="E40" s="76">
        <v>632</v>
      </c>
      <c r="F40" s="76">
        <v>715</v>
      </c>
      <c r="G40" s="76">
        <v>731</v>
      </c>
      <c r="H40" s="76">
        <v>735</v>
      </c>
      <c r="I40" s="76">
        <v>830</v>
      </c>
      <c r="J40" s="9">
        <v>918</v>
      </c>
      <c r="K40" s="75" t="s">
        <v>57</v>
      </c>
    </row>
    <row r="41" spans="1:15" s="2" customFormat="1" ht="15.75" thickBot="1">
      <c r="A41" s="17" t="s">
        <v>61</v>
      </c>
      <c r="B41" s="25" t="s">
        <v>3</v>
      </c>
      <c r="C41" s="80">
        <v>606</v>
      </c>
      <c r="D41" s="76">
        <v>622</v>
      </c>
      <c r="E41" s="76">
        <v>635</v>
      </c>
      <c r="F41" s="76">
        <v>648</v>
      </c>
      <c r="G41" s="76">
        <v>649</v>
      </c>
      <c r="H41" s="76">
        <v>650</v>
      </c>
      <c r="I41" s="76" t="s">
        <v>16</v>
      </c>
    </row>
    <row r="42" spans="1:15" s="2" customFormat="1" ht="15.75" thickBot="1">
      <c r="A42" s="17" t="s">
        <v>68</v>
      </c>
      <c r="B42" s="10" t="s">
        <v>18</v>
      </c>
      <c r="C42" s="76">
        <v>601</v>
      </c>
      <c r="D42" s="76">
        <v>623</v>
      </c>
      <c r="E42" s="76">
        <v>651</v>
      </c>
      <c r="F42" s="76">
        <v>662</v>
      </c>
      <c r="G42" s="76">
        <v>670</v>
      </c>
      <c r="H42" s="76">
        <v>672</v>
      </c>
      <c r="I42" s="76">
        <v>757</v>
      </c>
      <c r="J42" s="76">
        <v>776</v>
      </c>
      <c r="K42" s="75"/>
    </row>
    <row r="43" spans="1:15" s="2" customFormat="1" ht="15.75" thickBot="1">
      <c r="A43" s="17" t="s">
        <v>260</v>
      </c>
      <c r="B43" s="23" t="s">
        <v>8</v>
      </c>
      <c r="C43" s="76">
        <v>600</v>
      </c>
      <c r="D43" s="76">
        <v>607</v>
      </c>
      <c r="E43" s="76">
        <v>624</v>
      </c>
      <c r="F43" s="76" t="s">
        <v>16</v>
      </c>
    </row>
    <row r="44" spans="1:15" s="2" customFormat="1" ht="15.75" thickBot="1">
      <c r="A44" s="17" t="s">
        <v>207</v>
      </c>
      <c r="B44" s="23" t="s">
        <v>8</v>
      </c>
      <c r="C44" s="76">
        <v>436</v>
      </c>
      <c r="D44" s="76">
        <v>445</v>
      </c>
      <c r="E44" s="76" t="s">
        <v>16</v>
      </c>
      <c r="I44" s="81"/>
    </row>
    <row r="45" spans="1:15" s="2" customFormat="1" ht="15.75" thickBot="1">
      <c r="A45" s="17" t="s">
        <v>71</v>
      </c>
      <c r="B45" s="10" t="s">
        <v>18</v>
      </c>
      <c r="C45" s="80">
        <v>53</v>
      </c>
      <c r="D45" s="76" t="s">
        <v>16</v>
      </c>
      <c r="H45" s="82"/>
    </row>
    <row r="46" spans="1:15" s="2" customFormat="1" ht="15.75" thickBot="1">
      <c r="A46" s="17" t="s">
        <v>264</v>
      </c>
      <c r="B46" s="92" t="s">
        <v>265</v>
      </c>
      <c r="C46" s="76">
        <v>50</v>
      </c>
      <c r="D46" s="76" t="s">
        <v>16</v>
      </c>
      <c r="H46" s="82"/>
    </row>
    <row r="47" spans="1:15" s="2" customFormat="1" ht="14.25"/>
    <row r="48" spans="1:15" s="2" customFormat="1" ht="14.25">
      <c r="A48" s="1" t="s">
        <v>256</v>
      </c>
    </row>
    <row r="49" spans="1:15" s="2" customFormat="1" ht="9.75" customHeight="1" thickBot="1">
      <c r="A49" s="1"/>
    </row>
    <row r="50" spans="1:15" s="2" customFormat="1" ht="15.75" thickBot="1">
      <c r="A50" s="3" t="s">
        <v>0</v>
      </c>
      <c r="B50" s="4" t="s">
        <v>1</v>
      </c>
      <c r="C50" s="4" t="s">
        <v>2</v>
      </c>
      <c r="D50" s="4">
        <v>2</v>
      </c>
      <c r="E50" s="4">
        <v>3</v>
      </c>
      <c r="F50" s="4">
        <v>4</v>
      </c>
      <c r="G50" s="4">
        <v>5</v>
      </c>
      <c r="H50" s="4">
        <v>6</v>
      </c>
      <c r="I50" s="4">
        <v>7</v>
      </c>
      <c r="J50" s="4"/>
      <c r="K50" s="6" t="s">
        <v>289</v>
      </c>
      <c r="L50" s="39">
        <f>(6825/9049)</f>
        <v>0.75422698640733787</v>
      </c>
    </row>
    <row r="51" spans="1:15" s="2" customFormat="1" ht="15.75" thickBot="1">
      <c r="A51" s="7" t="s">
        <v>121</v>
      </c>
      <c r="B51" s="8" t="s">
        <v>8</v>
      </c>
      <c r="C51" s="9">
        <v>977</v>
      </c>
      <c r="D51" s="76"/>
      <c r="E51" s="9"/>
      <c r="F51" s="9"/>
      <c r="G51" s="9"/>
      <c r="H51" s="9"/>
      <c r="I51" s="9"/>
      <c r="J51" s="11" t="s">
        <v>4</v>
      </c>
      <c r="K51" s="5"/>
      <c r="L51" s="6" t="s">
        <v>5</v>
      </c>
      <c r="M51" s="6" t="s">
        <v>6</v>
      </c>
      <c r="N51" s="6" t="s">
        <v>7</v>
      </c>
    </row>
    <row r="52" spans="1:15" s="2" customFormat="1" ht="15.75" thickBot="1">
      <c r="A52" s="7" t="s">
        <v>124</v>
      </c>
      <c r="B52" s="20" t="s">
        <v>3</v>
      </c>
      <c r="C52" s="9">
        <v>963</v>
      </c>
      <c r="D52" s="76"/>
      <c r="E52" s="76"/>
      <c r="F52" s="76"/>
      <c r="G52" s="76"/>
      <c r="H52" s="9"/>
      <c r="I52" s="9"/>
      <c r="J52" s="11" t="s">
        <v>9</v>
      </c>
      <c r="K52" s="13" t="s">
        <v>8</v>
      </c>
      <c r="L52" s="14">
        <f>SUM(C51+C55+C58+C59)</f>
        <v>2719</v>
      </c>
      <c r="M52" s="15">
        <f>SUM(L52/L55)</f>
        <v>0.40377190377190375</v>
      </c>
      <c r="N52" s="5">
        <v>3</v>
      </c>
    </row>
    <row r="53" spans="1:15" s="2" customFormat="1" ht="15.75" thickBot="1">
      <c r="A53" s="7" t="s">
        <v>74</v>
      </c>
      <c r="B53" s="20" t="s">
        <v>3</v>
      </c>
      <c r="C53" s="76">
        <v>900</v>
      </c>
      <c r="D53" s="76">
        <v>918</v>
      </c>
      <c r="E53" s="76">
        <v>919</v>
      </c>
      <c r="F53" s="76">
        <v>956</v>
      </c>
      <c r="G53" s="9">
        <v>1345</v>
      </c>
      <c r="H53" s="76"/>
      <c r="I53" s="76"/>
      <c r="J53" s="11" t="s">
        <v>12</v>
      </c>
      <c r="K53" s="16" t="s">
        <v>3</v>
      </c>
      <c r="L53" s="14">
        <f>SUM(C52+C53+C54+C56)</f>
        <v>3186</v>
      </c>
      <c r="M53" s="15">
        <f>SUM(L53/L55)</f>
        <v>0.47312147312147312</v>
      </c>
      <c r="N53" s="5">
        <v>3</v>
      </c>
    </row>
    <row r="54" spans="1:15" s="2" customFormat="1" ht="15.75" thickBot="1">
      <c r="A54" s="7" t="s">
        <v>259</v>
      </c>
      <c r="B54" s="20" t="s">
        <v>3</v>
      </c>
      <c r="C54" s="76">
        <v>733</v>
      </c>
      <c r="D54" s="76">
        <v>809</v>
      </c>
      <c r="E54" s="76">
        <v>809</v>
      </c>
      <c r="F54" s="76">
        <v>844</v>
      </c>
      <c r="G54" s="76">
        <v>933</v>
      </c>
      <c r="H54" s="9">
        <v>1176</v>
      </c>
      <c r="I54" s="9"/>
      <c r="J54" s="11" t="s">
        <v>10</v>
      </c>
      <c r="K54" s="26" t="s">
        <v>17</v>
      </c>
      <c r="L54" s="14">
        <f>SUM(C57+C60)</f>
        <v>829</v>
      </c>
      <c r="M54" s="15">
        <f>SUM(L54/L55)</f>
        <v>0.12310662310662311</v>
      </c>
      <c r="N54" s="5"/>
    </row>
    <row r="55" spans="1:15" s="2" customFormat="1" ht="15.75" thickBot="1">
      <c r="A55" s="7" t="s">
        <v>203</v>
      </c>
      <c r="B55" s="8" t="s">
        <v>8</v>
      </c>
      <c r="C55" s="76">
        <v>631</v>
      </c>
      <c r="D55" s="76">
        <v>664</v>
      </c>
      <c r="E55" s="76">
        <v>665</v>
      </c>
      <c r="F55" s="76">
        <v>923</v>
      </c>
      <c r="G55" s="76">
        <v>925</v>
      </c>
      <c r="H55" s="76">
        <v>929</v>
      </c>
      <c r="I55" s="9">
        <v>930</v>
      </c>
      <c r="J55" s="11" t="s">
        <v>15</v>
      </c>
      <c r="L55" s="22">
        <v>6734</v>
      </c>
    </row>
    <row r="56" spans="1:15" s="2" customFormat="1" ht="15.75" thickBot="1">
      <c r="A56" s="17" t="s">
        <v>257</v>
      </c>
      <c r="B56" s="25" t="s">
        <v>3</v>
      </c>
      <c r="C56" s="76">
        <v>590</v>
      </c>
      <c r="D56" s="76">
        <v>603</v>
      </c>
      <c r="E56" s="76">
        <v>606</v>
      </c>
      <c r="F56" s="76">
        <v>610</v>
      </c>
      <c r="G56" s="76" t="s">
        <v>16</v>
      </c>
    </row>
    <row r="57" spans="1:15" s="2" customFormat="1" ht="15.75" thickBot="1">
      <c r="A57" s="17" t="s">
        <v>243</v>
      </c>
      <c r="B57" s="10" t="s">
        <v>18</v>
      </c>
      <c r="C57" s="76">
        <v>582</v>
      </c>
      <c r="D57" s="76">
        <v>615</v>
      </c>
      <c r="E57" s="76">
        <v>616</v>
      </c>
      <c r="F57" s="76">
        <v>665</v>
      </c>
      <c r="G57" s="76">
        <v>704</v>
      </c>
      <c r="H57" s="76">
        <v>739</v>
      </c>
      <c r="I57" s="76">
        <v>771</v>
      </c>
      <c r="J57" s="11"/>
    </row>
    <row r="58" spans="1:15" s="2" customFormat="1" ht="15.75" thickBot="1">
      <c r="A58" s="7" t="s">
        <v>79</v>
      </c>
      <c r="B58" s="8" t="s">
        <v>8</v>
      </c>
      <c r="C58" s="76">
        <v>558</v>
      </c>
      <c r="D58" s="76">
        <v>572</v>
      </c>
      <c r="E58" s="76">
        <v>579</v>
      </c>
      <c r="F58" s="76">
        <v>726</v>
      </c>
      <c r="G58" s="76">
        <v>774</v>
      </c>
      <c r="H58" s="76">
        <v>788</v>
      </c>
      <c r="I58" s="9">
        <v>806</v>
      </c>
      <c r="J58" s="11" t="s">
        <v>14</v>
      </c>
      <c r="L58" s="19"/>
      <c r="M58" s="14"/>
      <c r="N58" s="15"/>
      <c r="O58" s="5"/>
    </row>
    <row r="59" spans="1:15" s="2" customFormat="1" ht="15.75" thickBot="1">
      <c r="A59" s="17" t="s">
        <v>78</v>
      </c>
      <c r="B59" s="23" t="s">
        <v>8</v>
      </c>
      <c r="C59" s="76">
        <v>553</v>
      </c>
      <c r="D59" s="76">
        <v>573</v>
      </c>
      <c r="E59" s="76">
        <v>574</v>
      </c>
      <c r="F59" s="76" t="s">
        <v>16</v>
      </c>
      <c r="L59" s="21"/>
      <c r="M59" s="14"/>
      <c r="N59" s="15"/>
      <c r="O59" s="5"/>
    </row>
    <row r="60" spans="1:15" s="2" customFormat="1" ht="15.75" thickBot="1">
      <c r="A60" s="17" t="s">
        <v>258</v>
      </c>
      <c r="B60" s="41" t="s">
        <v>18</v>
      </c>
      <c r="C60" s="76">
        <v>247</v>
      </c>
      <c r="D60" s="76" t="s">
        <v>16</v>
      </c>
      <c r="M60" s="22"/>
    </row>
    <row r="61" spans="1:15" s="2" customFormat="1" ht="15">
      <c r="A61" s="40"/>
      <c r="C61" s="38"/>
    </row>
    <row r="62" spans="1:15">
      <c r="A62" s="27"/>
      <c r="B62" s="27" t="s">
        <v>19</v>
      </c>
      <c r="C62" s="28" t="s">
        <v>8</v>
      </c>
      <c r="D62" s="29" t="s">
        <v>3</v>
      </c>
      <c r="E62" s="31" t="s">
        <v>11</v>
      </c>
      <c r="F62" s="73" t="s">
        <v>265</v>
      </c>
      <c r="G62" s="27" t="s">
        <v>17</v>
      </c>
    </row>
    <row r="63" spans="1:15" ht="14.25">
      <c r="A63" s="32" t="s">
        <v>5</v>
      </c>
      <c r="B63" s="33">
        <f>SUM(L55+M39+N23+L8)</f>
        <v>28269</v>
      </c>
      <c r="C63" s="34">
        <f>SUM(L52+M35+N19+L5)</f>
        <v>11448</v>
      </c>
      <c r="D63" s="34">
        <f>SUM(L53+M36+N20+L6)</f>
        <v>12011</v>
      </c>
      <c r="E63" s="34">
        <v>851</v>
      </c>
      <c r="F63" s="34">
        <v>157</v>
      </c>
      <c r="G63" s="34">
        <f>SUM(M38+N22+L54+L7)</f>
        <v>3470</v>
      </c>
    </row>
    <row r="64" spans="1:15" ht="14.25">
      <c r="A64" s="32" t="s">
        <v>6</v>
      </c>
      <c r="B64" s="35">
        <v>1</v>
      </c>
      <c r="C64" s="36">
        <f>SUM(C63/$B$63)</f>
        <v>0.40496657115568291</v>
      </c>
      <c r="D64" s="36">
        <f>SUM(D63/$B$63)</f>
        <v>0.42488237999221762</v>
      </c>
      <c r="E64" s="36">
        <f>SUM(E63/$B$63)</f>
        <v>3.0103647104602213E-2</v>
      </c>
      <c r="F64" s="36">
        <f>SUM(F63/$B$63)</f>
        <v>5.5537868336340158E-3</v>
      </c>
      <c r="G64" s="36">
        <f>SUM(G63/$B$63)</f>
        <v>0.122749301354841</v>
      </c>
    </row>
    <row r="65" spans="1:7" ht="14.25">
      <c r="A65" s="32" t="s">
        <v>7</v>
      </c>
      <c r="B65" s="27">
        <v>25</v>
      </c>
      <c r="C65">
        <v>12</v>
      </c>
      <c r="D65">
        <v>11</v>
      </c>
      <c r="E65">
        <v>1</v>
      </c>
      <c r="F65">
        <v>0</v>
      </c>
      <c r="G65">
        <v>1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P60"/>
  <sheetViews>
    <sheetView workbookViewId="0">
      <selection activeCell="P1" sqref="P1"/>
    </sheetView>
  </sheetViews>
  <sheetFormatPr defaultRowHeight="12.75"/>
  <cols>
    <col min="1" max="1" width="20.28515625" customWidth="1"/>
  </cols>
  <sheetData>
    <row r="1" spans="1:14" s="2" customFormat="1" ht="14.25">
      <c r="A1" s="1" t="s">
        <v>195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(6051/7938)</f>
        <v>0.76228269085411937</v>
      </c>
    </row>
    <row r="4" spans="1:14" s="2" customFormat="1" ht="15.75" thickBot="1">
      <c r="A4" s="7" t="s">
        <v>196</v>
      </c>
      <c r="B4" s="8" t="s">
        <v>8</v>
      </c>
      <c r="C4" s="9">
        <v>1167</v>
      </c>
      <c r="D4" s="76"/>
      <c r="E4" s="76"/>
      <c r="F4" s="76"/>
      <c r="G4" s="76"/>
      <c r="H4" s="76"/>
      <c r="I4" s="76"/>
      <c r="J4" s="75" t="s">
        <v>4</v>
      </c>
      <c r="K4" s="5"/>
      <c r="L4" s="6" t="s">
        <v>5</v>
      </c>
      <c r="M4" s="6" t="s">
        <v>6</v>
      </c>
      <c r="N4" s="6" t="s">
        <v>7</v>
      </c>
    </row>
    <row r="5" spans="1:14" s="2" customFormat="1" ht="15.75" thickBot="1">
      <c r="A5" s="7" t="s">
        <v>130</v>
      </c>
      <c r="B5" s="8" t="s">
        <v>8</v>
      </c>
      <c r="C5" s="9">
        <v>1029</v>
      </c>
      <c r="D5" s="76"/>
      <c r="E5" s="76"/>
      <c r="F5" s="76"/>
      <c r="G5" s="76"/>
      <c r="H5" s="9"/>
      <c r="I5" s="76"/>
      <c r="J5" s="75" t="s">
        <v>9</v>
      </c>
      <c r="K5" s="13" t="s">
        <v>8</v>
      </c>
      <c r="L5" s="14">
        <f>SUM(C4+C5+C8+C9)</f>
        <v>3304</v>
      </c>
      <c r="M5" s="15">
        <f>SUM(L5/L8)</f>
        <v>0.55167807647353484</v>
      </c>
      <c r="N5" s="5">
        <v>3</v>
      </c>
    </row>
    <row r="6" spans="1:14" s="2" customFormat="1" ht="15.75" thickBot="1">
      <c r="A6" s="7" t="s">
        <v>30</v>
      </c>
      <c r="B6" s="20" t="s">
        <v>3</v>
      </c>
      <c r="C6" s="76">
        <v>831</v>
      </c>
      <c r="D6" s="76">
        <v>841</v>
      </c>
      <c r="E6" s="76">
        <v>843</v>
      </c>
      <c r="F6" s="76">
        <v>846</v>
      </c>
      <c r="G6" s="76">
        <v>908</v>
      </c>
      <c r="H6" s="76">
        <v>984</v>
      </c>
      <c r="I6" s="9">
        <v>1041</v>
      </c>
      <c r="J6" s="75" t="s">
        <v>12</v>
      </c>
      <c r="K6" s="16" t="s">
        <v>3</v>
      </c>
      <c r="L6" s="14">
        <f>SUM(C6+C7+C11+C12)</f>
        <v>2065</v>
      </c>
      <c r="M6" s="15">
        <f>SUM(L6/L8)</f>
        <v>0.34479879779595923</v>
      </c>
      <c r="N6" s="5">
        <v>2</v>
      </c>
    </row>
    <row r="7" spans="1:14" s="2" customFormat="1" ht="15.75" thickBot="1">
      <c r="A7" s="7" t="s">
        <v>138</v>
      </c>
      <c r="B7" s="20" t="s">
        <v>3</v>
      </c>
      <c r="C7" s="76">
        <v>658</v>
      </c>
      <c r="D7" s="76">
        <v>666</v>
      </c>
      <c r="E7" s="76">
        <v>671</v>
      </c>
      <c r="F7" s="76">
        <v>674</v>
      </c>
      <c r="G7" s="76">
        <v>748</v>
      </c>
      <c r="H7" s="76">
        <v>949</v>
      </c>
      <c r="I7" s="9">
        <v>1020</v>
      </c>
      <c r="J7" s="75" t="s">
        <v>10</v>
      </c>
      <c r="K7" s="19" t="s">
        <v>11</v>
      </c>
      <c r="L7" s="38">
        <v>620</v>
      </c>
      <c r="M7" s="39">
        <f>SUM(L7/L8)</f>
        <v>0.10352312573050593</v>
      </c>
    </row>
    <row r="8" spans="1:14" s="2" customFormat="1" ht="15.75" thickBot="1">
      <c r="A8" s="7" t="s">
        <v>198</v>
      </c>
      <c r="B8" s="8" t="s">
        <v>8</v>
      </c>
      <c r="C8" s="76">
        <v>605</v>
      </c>
      <c r="D8" s="76">
        <v>626</v>
      </c>
      <c r="E8" s="76">
        <v>632</v>
      </c>
      <c r="F8" s="76">
        <v>703</v>
      </c>
      <c r="G8" s="76">
        <v>706</v>
      </c>
      <c r="H8" s="76">
        <v>796</v>
      </c>
      <c r="I8" s="9">
        <v>893</v>
      </c>
      <c r="J8" s="75" t="s">
        <v>15</v>
      </c>
      <c r="L8" s="22">
        <v>5989</v>
      </c>
    </row>
    <row r="9" spans="1:14" s="2" customFormat="1" ht="15.75" thickBot="1">
      <c r="A9" s="17" t="s">
        <v>106</v>
      </c>
      <c r="B9" s="23" t="s">
        <v>8</v>
      </c>
      <c r="C9" s="76">
        <v>503</v>
      </c>
      <c r="D9" s="76">
        <v>578</v>
      </c>
      <c r="E9" s="76">
        <v>590</v>
      </c>
      <c r="F9" s="76">
        <v>596</v>
      </c>
      <c r="G9" s="76">
        <v>621</v>
      </c>
      <c r="H9" s="76">
        <v>653</v>
      </c>
      <c r="I9" s="76">
        <v>775</v>
      </c>
      <c r="J9" s="75"/>
    </row>
    <row r="10" spans="1:14" s="2" customFormat="1" ht="15.75" thickBot="1">
      <c r="A10" s="17" t="s">
        <v>136</v>
      </c>
      <c r="B10" s="18" t="s">
        <v>11</v>
      </c>
      <c r="C10" s="76">
        <v>402</v>
      </c>
      <c r="D10" s="76">
        <v>427</v>
      </c>
      <c r="E10" s="76">
        <v>430</v>
      </c>
      <c r="F10" s="76">
        <v>552</v>
      </c>
      <c r="G10" s="76">
        <v>562</v>
      </c>
      <c r="H10" s="76">
        <v>572</v>
      </c>
      <c r="I10" s="76" t="s">
        <v>16</v>
      </c>
    </row>
    <row r="11" spans="1:14" s="2" customFormat="1" ht="15.75" thickBot="1">
      <c r="A11" s="17" t="s">
        <v>285</v>
      </c>
      <c r="B11" s="25" t="s">
        <v>3</v>
      </c>
      <c r="C11" s="76">
        <v>354</v>
      </c>
      <c r="D11" s="76">
        <v>357</v>
      </c>
      <c r="E11" s="76">
        <v>358</v>
      </c>
      <c r="F11" s="76">
        <v>371</v>
      </c>
      <c r="G11" s="76">
        <v>425</v>
      </c>
      <c r="H11" s="76" t="s">
        <v>16</v>
      </c>
      <c r="I11" s="38"/>
      <c r="J11" s="19"/>
      <c r="K11" s="38"/>
      <c r="L11" s="39"/>
    </row>
    <row r="12" spans="1:14" s="2" customFormat="1" ht="15.75" thickBot="1">
      <c r="A12" s="17" t="s">
        <v>286</v>
      </c>
      <c r="B12" s="25" t="s">
        <v>3</v>
      </c>
      <c r="C12" s="76">
        <v>222</v>
      </c>
      <c r="D12" s="76">
        <v>247</v>
      </c>
      <c r="E12" s="76">
        <v>247</v>
      </c>
      <c r="F12" s="76">
        <v>247</v>
      </c>
      <c r="G12" s="76" t="s">
        <v>16</v>
      </c>
      <c r="I12" s="38"/>
      <c r="K12" s="22"/>
    </row>
    <row r="13" spans="1:14" s="2" customFormat="1" ht="15.75" thickBot="1">
      <c r="A13" s="17" t="s">
        <v>287</v>
      </c>
      <c r="B13" s="18" t="s">
        <v>11</v>
      </c>
      <c r="C13" s="76">
        <v>218</v>
      </c>
      <c r="D13" s="76">
        <v>219</v>
      </c>
      <c r="E13" s="76">
        <v>220</v>
      </c>
      <c r="F13" s="76" t="s">
        <v>16</v>
      </c>
      <c r="G13" s="38"/>
      <c r="H13" s="38"/>
      <c r="I13" s="38"/>
    </row>
    <row r="14" spans="1:14" s="2" customFormat="1" ht="14.25"/>
    <row r="15" spans="1:14" s="2" customFormat="1" ht="14.25">
      <c r="A15" s="1" t="s">
        <v>192</v>
      </c>
    </row>
    <row r="16" spans="1:14" s="2" customFormat="1" ht="9.75" customHeight="1" thickBot="1">
      <c r="A16" s="1"/>
    </row>
    <row r="17" spans="1:14" s="2" customFormat="1" ht="15.75" thickBot="1">
      <c r="A17" s="3" t="s">
        <v>0</v>
      </c>
      <c r="B17" s="4" t="s">
        <v>1</v>
      </c>
      <c r="C17" s="4" t="s">
        <v>2</v>
      </c>
      <c r="D17" s="4">
        <v>2</v>
      </c>
      <c r="E17" s="4">
        <v>3</v>
      </c>
      <c r="F17" s="4">
        <v>4</v>
      </c>
      <c r="G17" s="4">
        <v>5</v>
      </c>
      <c r="H17" s="4">
        <v>6</v>
      </c>
      <c r="I17" s="4"/>
      <c r="J17" s="6" t="s">
        <v>289</v>
      </c>
      <c r="K17" s="39">
        <f>(7686/11013)</f>
        <v>0.69790247888858625</v>
      </c>
    </row>
    <row r="18" spans="1:14" s="2" customFormat="1" ht="15.75" thickBot="1">
      <c r="A18" s="7" t="s">
        <v>193</v>
      </c>
      <c r="B18" s="8" t="s">
        <v>8</v>
      </c>
      <c r="C18" s="9">
        <v>1065</v>
      </c>
      <c r="D18" s="76"/>
      <c r="E18" s="9"/>
      <c r="F18" s="76"/>
      <c r="G18" s="76"/>
      <c r="H18" s="76"/>
      <c r="I18" s="75" t="s">
        <v>4</v>
      </c>
      <c r="J18" s="5"/>
      <c r="K18" s="6" t="s">
        <v>5</v>
      </c>
      <c r="L18" s="6" t="s">
        <v>6</v>
      </c>
      <c r="M18" s="6" t="s">
        <v>7</v>
      </c>
    </row>
    <row r="19" spans="1:14" s="2" customFormat="1" ht="15.75" thickBot="1">
      <c r="A19" s="7" t="s">
        <v>194</v>
      </c>
      <c r="B19" s="8" t="s">
        <v>8</v>
      </c>
      <c r="C19" s="9">
        <v>1018</v>
      </c>
      <c r="D19" s="76"/>
      <c r="E19" s="76"/>
      <c r="F19" s="76"/>
      <c r="G19" s="76"/>
      <c r="H19" s="9"/>
      <c r="I19" s="75" t="s">
        <v>9</v>
      </c>
      <c r="J19" s="13" t="s">
        <v>8</v>
      </c>
      <c r="K19" s="14">
        <f>SUM(C18+C19+C23+C24+C27)</f>
        <v>3854</v>
      </c>
      <c r="L19" s="15">
        <f>SUM(K19/K22)</f>
        <v>0.51012574454003967</v>
      </c>
      <c r="M19" s="5">
        <v>4</v>
      </c>
    </row>
    <row r="20" spans="1:14" s="2" customFormat="1" ht="15.75" thickBot="1">
      <c r="A20" s="7" t="s">
        <v>56</v>
      </c>
      <c r="B20" s="20" t="s">
        <v>3</v>
      </c>
      <c r="C20" s="76">
        <v>909</v>
      </c>
      <c r="D20" s="76">
        <v>918</v>
      </c>
      <c r="E20" s="76">
        <v>925</v>
      </c>
      <c r="F20" s="9">
        <v>949</v>
      </c>
      <c r="G20" s="76"/>
      <c r="H20" s="76"/>
      <c r="I20" s="75" t="s">
        <v>12</v>
      </c>
      <c r="J20" s="16" t="s">
        <v>3</v>
      </c>
      <c r="K20" s="14">
        <f>SUM(C20+C21+C22+C26)</f>
        <v>3050</v>
      </c>
      <c r="L20" s="15">
        <f>SUM(K20/K22)</f>
        <v>0.40370615486432826</v>
      </c>
      <c r="M20" s="5">
        <v>3</v>
      </c>
    </row>
    <row r="21" spans="1:14" s="2" customFormat="1" ht="15.75" thickBot="1">
      <c r="A21" s="7" t="s">
        <v>147</v>
      </c>
      <c r="B21" s="20" t="s">
        <v>3</v>
      </c>
      <c r="C21" s="76">
        <v>841</v>
      </c>
      <c r="D21" s="76">
        <v>844</v>
      </c>
      <c r="E21" s="76">
        <v>845</v>
      </c>
      <c r="F21" s="76">
        <v>865</v>
      </c>
      <c r="G21" s="9">
        <v>1110</v>
      </c>
      <c r="H21" s="76"/>
      <c r="I21" s="75" t="s">
        <v>10</v>
      </c>
      <c r="J21" s="19" t="s">
        <v>11</v>
      </c>
      <c r="K21" s="14">
        <v>651</v>
      </c>
      <c r="L21" s="15">
        <f>SUM(K21/K22)</f>
        <v>8.6168100595632027E-2</v>
      </c>
      <c r="M21" s="5"/>
    </row>
    <row r="22" spans="1:14" s="2" customFormat="1" ht="15.75" thickBot="1">
      <c r="A22" s="7" t="s">
        <v>241</v>
      </c>
      <c r="B22" s="20" t="s">
        <v>3</v>
      </c>
      <c r="C22" s="76">
        <v>754</v>
      </c>
      <c r="D22" s="76">
        <v>759</v>
      </c>
      <c r="E22" s="76">
        <v>768</v>
      </c>
      <c r="F22" s="76">
        <v>792</v>
      </c>
      <c r="G22" s="9">
        <v>954</v>
      </c>
      <c r="H22" s="76"/>
      <c r="I22" s="75" t="s">
        <v>14</v>
      </c>
      <c r="J22" s="21"/>
      <c r="K22" s="22">
        <v>7555</v>
      </c>
      <c r="L22" s="15"/>
      <c r="M22" s="5"/>
    </row>
    <row r="23" spans="1:14" s="2" customFormat="1" ht="15.75" thickBot="1">
      <c r="A23" s="7" t="s">
        <v>279</v>
      </c>
      <c r="B23" s="8" t="s">
        <v>8</v>
      </c>
      <c r="C23" s="76">
        <v>693</v>
      </c>
      <c r="D23" s="76">
        <v>718</v>
      </c>
      <c r="E23" s="76">
        <v>734</v>
      </c>
      <c r="F23" s="76">
        <v>864</v>
      </c>
      <c r="G23" s="76">
        <v>897</v>
      </c>
      <c r="H23" s="9">
        <v>932</v>
      </c>
      <c r="I23" s="75" t="s">
        <v>57</v>
      </c>
      <c r="J23" s="26"/>
      <c r="K23" s="14"/>
      <c r="L23" s="15"/>
      <c r="M23" s="5"/>
    </row>
    <row r="24" spans="1:14" s="2" customFormat="1" ht="15.75" thickBot="1">
      <c r="A24" s="7" t="s">
        <v>55</v>
      </c>
      <c r="B24" s="8" t="s">
        <v>8</v>
      </c>
      <c r="C24" s="76">
        <v>662</v>
      </c>
      <c r="D24" s="76">
        <v>704</v>
      </c>
      <c r="E24" s="76">
        <v>734</v>
      </c>
      <c r="F24" s="76">
        <v>877</v>
      </c>
      <c r="G24" s="9">
        <v>958</v>
      </c>
      <c r="H24" s="76"/>
      <c r="I24" s="75" t="s">
        <v>15</v>
      </c>
    </row>
    <row r="25" spans="1:14" s="2" customFormat="1" ht="15.75" thickBot="1">
      <c r="A25" s="17" t="s">
        <v>171</v>
      </c>
      <c r="B25" s="18" t="s">
        <v>11</v>
      </c>
      <c r="C25" s="76">
        <v>651</v>
      </c>
      <c r="D25" s="76">
        <v>659</v>
      </c>
      <c r="E25" s="76">
        <v>662</v>
      </c>
      <c r="F25" s="76">
        <v>699</v>
      </c>
      <c r="G25" s="76">
        <v>729</v>
      </c>
      <c r="H25" s="76">
        <v>785</v>
      </c>
      <c r="I25" s="75"/>
    </row>
    <row r="26" spans="1:14" s="2" customFormat="1" ht="15.75" thickBot="1">
      <c r="A26" s="17" t="s">
        <v>202</v>
      </c>
      <c r="B26" s="25" t="s">
        <v>3</v>
      </c>
      <c r="C26" s="76">
        <v>546</v>
      </c>
      <c r="D26" s="76">
        <v>552</v>
      </c>
      <c r="E26" s="76">
        <v>553</v>
      </c>
      <c r="F26" s="76">
        <v>588</v>
      </c>
      <c r="G26" s="76" t="s">
        <v>16</v>
      </c>
    </row>
    <row r="27" spans="1:14" s="2" customFormat="1" ht="15.75" thickBot="1">
      <c r="A27" s="17" t="s">
        <v>208</v>
      </c>
      <c r="B27" s="23" t="s">
        <v>8</v>
      </c>
      <c r="C27" s="76">
        <v>416</v>
      </c>
      <c r="D27" s="76">
        <v>438</v>
      </c>
      <c r="E27" s="76">
        <v>444</v>
      </c>
      <c r="F27" s="76" t="s">
        <v>16</v>
      </c>
    </row>
    <row r="28" spans="1:14" s="2" customFormat="1" ht="14.25"/>
    <row r="29" spans="1:14" s="2" customFormat="1" ht="14.25">
      <c r="A29" s="1" t="s">
        <v>204</v>
      </c>
    </row>
    <row r="30" spans="1:14" s="2" customFormat="1" ht="9" customHeight="1" thickBot="1">
      <c r="A30" s="1"/>
    </row>
    <row r="31" spans="1:14" s="2" customFormat="1" ht="15.75" thickBot="1">
      <c r="A31" s="3" t="s">
        <v>0</v>
      </c>
      <c r="B31" s="4" t="s">
        <v>1</v>
      </c>
      <c r="C31" s="4" t="s">
        <v>2</v>
      </c>
      <c r="D31" s="4">
        <v>2</v>
      </c>
      <c r="E31" s="4">
        <v>3</v>
      </c>
      <c r="F31" s="4">
        <v>4</v>
      </c>
      <c r="G31" s="4">
        <v>5</v>
      </c>
      <c r="H31" s="4">
        <v>6</v>
      </c>
      <c r="I31" s="4">
        <v>7</v>
      </c>
      <c r="J31" s="4"/>
      <c r="K31" s="6" t="s">
        <v>289</v>
      </c>
      <c r="L31" s="39">
        <f>(7631/10962)</f>
        <v>0.69613209268381682</v>
      </c>
    </row>
    <row r="32" spans="1:14" s="2" customFormat="1" ht="15.75" thickBot="1">
      <c r="A32" s="7" t="s">
        <v>110</v>
      </c>
      <c r="B32" s="8" t="s">
        <v>8</v>
      </c>
      <c r="C32" s="9">
        <v>1260</v>
      </c>
      <c r="D32" s="9"/>
      <c r="E32" s="76"/>
      <c r="F32" s="76"/>
      <c r="G32" s="9"/>
      <c r="H32" s="9"/>
      <c r="I32" s="76"/>
      <c r="J32" s="75" t="s">
        <v>4</v>
      </c>
      <c r="K32" s="5"/>
      <c r="L32" s="6" t="s">
        <v>5</v>
      </c>
      <c r="M32" s="6" t="s">
        <v>6</v>
      </c>
      <c r="N32" s="6" t="s">
        <v>7</v>
      </c>
    </row>
    <row r="33" spans="1:15" s="2" customFormat="1" ht="15.75" thickBot="1">
      <c r="A33" s="7" t="s">
        <v>181</v>
      </c>
      <c r="B33" s="8" t="s">
        <v>8</v>
      </c>
      <c r="C33" s="9">
        <v>1011</v>
      </c>
      <c r="D33" s="76"/>
      <c r="E33" s="76"/>
      <c r="F33" s="76"/>
      <c r="G33" s="9"/>
      <c r="H33" s="9"/>
      <c r="I33" s="76"/>
      <c r="J33" s="75" t="s">
        <v>9</v>
      </c>
      <c r="K33" s="13" t="s">
        <v>8</v>
      </c>
      <c r="L33" s="14">
        <f>SUM(C32+C33+C34+C36+C37)</f>
        <v>4487</v>
      </c>
      <c r="M33" s="15">
        <f>SUM(L33/L36)</f>
        <v>0.59794776119402981</v>
      </c>
      <c r="N33" s="5">
        <v>4</v>
      </c>
    </row>
    <row r="34" spans="1:15" s="2" customFormat="1" ht="15.75" thickBot="1">
      <c r="A34" s="7" t="s">
        <v>207</v>
      </c>
      <c r="B34" s="8" t="s">
        <v>8</v>
      </c>
      <c r="C34" s="76">
        <v>867</v>
      </c>
      <c r="D34" s="76">
        <v>934</v>
      </c>
      <c r="E34" s="9">
        <v>940</v>
      </c>
      <c r="F34" s="9"/>
      <c r="G34" s="76"/>
      <c r="H34" s="76"/>
      <c r="I34" s="76"/>
      <c r="J34" s="75" t="s">
        <v>12</v>
      </c>
      <c r="K34" s="16" t="s">
        <v>3</v>
      </c>
      <c r="L34" s="14">
        <f>SUM(C38:C41)</f>
        <v>2232</v>
      </c>
      <c r="M34" s="15">
        <f>SUM(L34/L36)</f>
        <v>0.29744136460554371</v>
      </c>
      <c r="N34" s="5">
        <v>2</v>
      </c>
    </row>
    <row r="35" spans="1:15" s="2" customFormat="1" ht="15.75" thickBot="1">
      <c r="A35" s="7" t="s">
        <v>59</v>
      </c>
      <c r="B35" s="42" t="s">
        <v>18</v>
      </c>
      <c r="C35" s="76">
        <v>785</v>
      </c>
      <c r="D35" s="76">
        <v>800</v>
      </c>
      <c r="E35" s="76">
        <v>802</v>
      </c>
      <c r="F35" s="76">
        <v>824</v>
      </c>
      <c r="G35" s="76">
        <v>854</v>
      </c>
      <c r="H35" s="76">
        <v>926</v>
      </c>
      <c r="I35" s="9">
        <v>948</v>
      </c>
      <c r="J35" s="75" t="s">
        <v>14</v>
      </c>
      <c r="K35" s="6" t="s">
        <v>17</v>
      </c>
      <c r="L35" s="38">
        <v>785</v>
      </c>
      <c r="M35" s="39">
        <f>SUM(L35/L36)</f>
        <v>0.10461087420042645</v>
      </c>
      <c r="N35" s="2">
        <v>1</v>
      </c>
    </row>
    <row r="36" spans="1:15" s="2" customFormat="1" ht="15.75" thickBot="1">
      <c r="A36" s="7" t="s">
        <v>113</v>
      </c>
      <c r="B36" s="8" t="s">
        <v>8</v>
      </c>
      <c r="C36" s="76">
        <v>678</v>
      </c>
      <c r="D36" s="76">
        <v>780</v>
      </c>
      <c r="E36" s="76">
        <v>815</v>
      </c>
      <c r="F36" s="76">
        <v>827</v>
      </c>
      <c r="G36" s="76">
        <v>855</v>
      </c>
      <c r="H36" s="76">
        <v>873</v>
      </c>
      <c r="I36" s="9">
        <v>888</v>
      </c>
      <c r="J36" s="11" t="s">
        <v>57</v>
      </c>
      <c r="L36" s="22">
        <v>7504</v>
      </c>
    </row>
    <row r="37" spans="1:15" s="2" customFormat="1" ht="15.75" thickBot="1">
      <c r="A37" s="17" t="s">
        <v>209</v>
      </c>
      <c r="B37" s="23" t="s">
        <v>8</v>
      </c>
      <c r="C37" s="76">
        <v>671</v>
      </c>
      <c r="D37" s="76">
        <v>742</v>
      </c>
      <c r="E37" s="76">
        <v>754</v>
      </c>
      <c r="F37" s="76">
        <v>784</v>
      </c>
      <c r="G37" s="76">
        <v>806</v>
      </c>
      <c r="H37" s="76">
        <v>830</v>
      </c>
      <c r="I37" s="76">
        <v>843</v>
      </c>
      <c r="J37" s="75"/>
    </row>
    <row r="38" spans="1:15" s="2" customFormat="1" ht="15.75" thickBot="1">
      <c r="A38" s="7" t="s">
        <v>184</v>
      </c>
      <c r="B38" s="20" t="s">
        <v>3</v>
      </c>
      <c r="C38" s="76">
        <v>643</v>
      </c>
      <c r="D38" s="76">
        <v>648</v>
      </c>
      <c r="E38" s="76">
        <v>655</v>
      </c>
      <c r="F38" s="76">
        <v>753</v>
      </c>
      <c r="G38" s="9">
        <v>1054</v>
      </c>
      <c r="H38" s="76"/>
      <c r="I38" s="9"/>
      <c r="J38" s="75" t="s">
        <v>10</v>
      </c>
    </row>
    <row r="39" spans="1:15" s="2" customFormat="1" ht="15.75" thickBot="1">
      <c r="A39" s="7" t="s">
        <v>210</v>
      </c>
      <c r="B39" s="20" t="s">
        <v>3</v>
      </c>
      <c r="C39" s="80">
        <v>605</v>
      </c>
      <c r="D39" s="76">
        <v>651</v>
      </c>
      <c r="E39" s="76">
        <v>652</v>
      </c>
      <c r="F39" s="76">
        <v>822</v>
      </c>
      <c r="G39" s="9">
        <v>1005</v>
      </c>
      <c r="H39" s="76"/>
      <c r="I39" s="76"/>
      <c r="J39" s="75" t="s">
        <v>15</v>
      </c>
    </row>
    <row r="40" spans="1:15" s="2" customFormat="1" ht="15.75" thickBot="1">
      <c r="A40" s="17" t="s">
        <v>63</v>
      </c>
      <c r="B40" s="25" t="s">
        <v>3</v>
      </c>
      <c r="C40" s="76">
        <v>511</v>
      </c>
      <c r="D40" s="76">
        <v>517</v>
      </c>
      <c r="E40" s="76">
        <v>525</v>
      </c>
      <c r="F40" s="76">
        <v>623</v>
      </c>
      <c r="G40" s="76" t="s">
        <v>16</v>
      </c>
    </row>
    <row r="41" spans="1:15" s="2" customFormat="1" ht="15.75" thickBot="1">
      <c r="A41" s="17" t="s">
        <v>211</v>
      </c>
      <c r="B41" s="25" t="s">
        <v>3</v>
      </c>
      <c r="C41" s="76">
        <v>473</v>
      </c>
      <c r="D41" s="76">
        <v>482</v>
      </c>
      <c r="E41" s="76">
        <v>483</v>
      </c>
      <c r="F41" s="76" t="s">
        <v>16</v>
      </c>
    </row>
    <row r="42" spans="1:15" s="2" customFormat="1" ht="14.25"/>
    <row r="43" spans="1:15" s="2" customFormat="1" ht="14.25">
      <c r="A43" s="1" t="s">
        <v>199</v>
      </c>
    </row>
    <row r="44" spans="1:15" s="2" customFormat="1" ht="9.75" customHeight="1" thickBot="1">
      <c r="A44" s="1"/>
    </row>
    <row r="45" spans="1:15" s="2" customFormat="1" ht="15.75" thickBot="1">
      <c r="A45" s="3" t="s">
        <v>0</v>
      </c>
      <c r="B45" s="4" t="s">
        <v>1</v>
      </c>
      <c r="C45" s="4" t="s">
        <v>2</v>
      </c>
      <c r="D45" s="4">
        <v>2</v>
      </c>
      <c r="E45" s="4">
        <v>3</v>
      </c>
      <c r="F45" s="4">
        <v>4</v>
      </c>
      <c r="G45" s="4">
        <v>5</v>
      </c>
      <c r="H45" s="4">
        <v>6</v>
      </c>
      <c r="I45" s="4">
        <v>7</v>
      </c>
      <c r="J45" s="4">
        <v>8</v>
      </c>
      <c r="K45" s="4"/>
      <c r="L45" s="6" t="s">
        <v>289</v>
      </c>
      <c r="M45" s="39">
        <f>(6564/9252)</f>
        <v>0.70946822308690016</v>
      </c>
    </row>
    <row r="46" spans="1:15" s="2" customFormat="1" ht="15.75" thickBot="1">
      <c r="A46" s="7" t="s">
        <v>121</v>
      </c>
      <c r="B46" s="8" t="s">
        <v>8</v>
      </c>
      <c r="C46" s="9">
        <v>1023</v>
      </c>
      <c r="D46" s="76"/>
      <c r="E46" s="9"/>
      <c r="F46" s="9"/>
      <c r="G46" s="9"/>
      <c r="H46" s="9"/>
      <c r="I46" s="9"/>
      <c r="J46" s="9"/>
      <c r="K46" s="11" t="s">
        <v>4</v>
      </c>
      <c r="L46" s="5"/>
      <c r="M46" s="6" t="s">
        <v>5</v>
      </c>
      <c r="N46" s="6" t="s">
        <v>6</v>
      </c>
      <c r="O46" s="6" t="s">
        <v>7</v>
      </c>
    </row>
    <row r="47" spans="1:15" s="2" customFormat="1" ht="15.75" thickBot="1">
      <c r="A47" s="7" t="s">
        <v>280</v>
      </c>
      <c r="B47" s="8" t="s">
        <v>8</v>
      </c>
      <c r="C47" s="76">
        <v>807</v>
      </c>
      <c r="D47" s="76">
        <v>860</v>
      </c>
      <c r="E47" s="76">
        <v>922</v>
      </c>
      <c r="F47" s="9">
        <v>1124</v>
      </c>
      <c r="G47" s="76"/>
      <c r="H47" s="9"/>
      <c r="I47" s="9"/>
      <c r="J47" s="9"/>
      <c r="K47" s="11" t="s">
        <v>9</v>
      </c>
      <c r="L47" s="13" t="s">
        <v>8</v>
      </c>
      <c r="M47" s="14">
        <f>SUM(C46+C47+C51+C52)</f>
        <v>3105</v>
      </c>
      <c r="N47" s="15">
        <f>SUM(M47/M51)</f>
        <v>0.47710510141364476</v>
      </c>
      <c r="O47" s="5">
        <v>3</v>
      </c>
    </row>
    <row r="48" spans="1:15" s="2" customFormat="1" ht="15.75" thickBot="1">
      <c r="A48" s="7" t="s">
        <v>190</v>
      </c>
      <c r="B48" s="20" t="s">
        <v>3</v>
      </c>
      <c r="C48" s="76">
        <v>711</v>
      </c>
      <c r="D48" s="76">
        <v>712</v>
      </c>
      <c r="E48" s="76">
        <v>719</v>
      </c>
      <c r="F48" s="76">
        <v>763</v>
      </c>
      <c r="G48" s="76">
        <v>778</v>
      </c>
      <c r="H48" s="9">
        <v>951</v>
      </c>
      <c r="I48" s="76"/>
      <c r="J48" s="9"/>
      <c r="K48" s="11" t="s">
        <v>10</v>
      </c>
      <c r="L48" s="16" t="s">
        <v>3</v>
      </c>
      <c r="M48" s="14">
        <f>SUM(C48+C49+C50+C53)</f>
        <v>2672</v>
      </c>
      <c r="N48" s="15">
        <f>SUM(M48/M51)</f>
        <v>0.41057160417947142</v>
      </c>
      <c r="O48" s="5">
        <v>3</v>
      </c>
    </row>
    <row r="49" spans="1:16" s="2" customFormat="1" ht="15.75" thickBot="1">
      <c r="A49" s="7" t="s">
        <v>201</v>
      </c>
      <c r="B49" s="20" t="s">
        <v>3</v>
      </c>
      <c r="C49" s="76">
        <v>697</v>
      </c>
      <c r="D49" s="76">
        <v>699</v>
      </c>
      <c r="E49" s="76">
        <v>711</v>
      </c>
      <c r="F49" s="76">
        <v>822</v>
      </c>
      <c r="G49" s="76">
        <v>877</v>
      </c>
      <c r="H49" s="9">
        <v>1157</v>
      </c>
      <c r="I49" s="9"/>
      <c r="J49" s="9"/>
      <c r="K49" s="11" t="s">
        <v>12</v>
      </c>
      <c r="L49" s="19" t="s">
        <v>11</v>
      </c>
      <c r="M49" s="14">
        <v>277</v>
      </c>
      <c r="N49" s="15">
        <f>SUM(M49/M51)</f>
        <v>4.256299938537185E-2</v>
      </c>
      <c r="O49" s="5"/>
    </row>
    <row r="50" spans="1:16" s="2" customFormat="1" ht="15.75" thickBot="1">
      <c r="A50" s="7" t="s">
        <v>202</v>
      </c>
      <c r="B50" s="20" t="s">
        <v>3</v>
      </c>
      <c r="C50" s="76">
        <v>677</v>
      </c>
      <c r="D50" s="76">
        <v>678</v>
      </c>
      <c r="E50" s="76">
        <v>701</v>
      </c>
      <c r="F50" s="76">
        <v>724</v>
      </c>
      <c r="G50" s="76">
        <v>728</v>
      </c>
      <c r="H50" s="76">
        <v>832</v>
      </c>
      <c r="I50" s="9">
        <v>1036</v>
      </c>
      <c r="J50" s="76"/>
      <c r="K50" s="11" t="s">
        <v>15</v>
      </c>
      <c r="L50" s="26" t="s">
        <v>17</v>
      </c>
      <c r="M50" s="14">
        <v>454</v>
      </c>
      <c r="N50" s="15">
        <f>SUM(M50/M51)</f>
        <v>6.9760295021511987E-2</v>
      </c>
      <c r="O50" s="5"/>
    </row>
    <row r="51" spans="1:16" s="2" customFormat="1" ht="15.75" thickBot="1">
      <c r="A51" s="7" t="s">
        <v>203</v>
      </c>
      <c r="B51" s="8" t="s">
        <v>8</v>
      </c>
      <c r="C51" s="76">
        <v>646</v>
      </c>
      <c r="D51" s="76">
        <v>653</v>
      </c>
      <c r="E51" s="76">
        <v>682</v>
      </c>
      <c r="F51" s="76">
        <v>694</v>
      </c>
      <c r="G51" s="76">
        <v>730</v>
      </c>
      <c r="H51" s="76">
        <v>770</v>
      </c>
      <c r="I51" s="76">
        <v>784</v>
      </c>
      <c r="J51" s="9">
        <v>809</v>
      </c>
      <c r="K51" s="11" t="s">
        <v>14</v>
      </c>
      <c r="L51" s="79"/>
      <c r="M51" s="22">
        <v>6508</v>
      </c>
      <c r="N51" s="15"/>
      <c r="O51" s="5"/>
    </row>
    <row r="52" spans="1:16" s="2" customFormat="1" ht="15.75" thickBot="1">
      <c r="A52" s="17" t="s">
        <v>283</v>
      </c>
      <c r="B52" s="23" t="s">
        <v>8</v>
      </c>
      <c r="C52" s="76">
        <v>629</v>
      </c>
      <c r="D52" s="76">
        <v>634</v>
      </c>
      <c r="E52" s="76">
        <v>657</v>
      </c>
      <c r="F52" s="76">
        <v>677</v>
      </c>
      <c r="G52" s="76">
        <v>708</v>
      </c>
      <c r="H52" s="76">
        <v>721</v>
      </c>
      <c r="I52" s="76">
        <v>730</v>
      </c>
      <c r="J52" s="76">
        <v>739</v>
      </c>
      <c r="K52" s="11"/>
    </row>
    <row r="53" spans="1:16" s="2" customFormat="1" ht="15.75" thickBot="1">
      <c r="A53" s="17" t="s">
        <v>257</v>
      </c>
      <c r="B53" s="25" t="s">
        <v>3</v>
      </c>
      <c r="C53" s="76">
        <v>587</v>
      </c>
      <c r="D53" s="76">
        <v>606</v>
      </c>
      <c r="E53" s="76">
        <v>630</v>
      </c>
      <c r="F53" s="76">
        <v>680</v>
      </c>
      <c r="G53" s="76">
        <v>693</v>
      </c>
      <c r="H53" s="76" t="s">
        <v>16</v>
      </c>
      <c r="J53" s="38"/>
      <c r="M53" s="19"/>
      <c r="N53" s="14"/>
      <c r="O53" s="15"/>
      <c r="P53" s="5"/>
    </row>
    <row r="54" spans="1:16" s="2" customFormat="1" ht="15.75" thickBot="1">
      <c r="A54" s="17" t="s">
        <v>284</v>
      </c>
      <c r="B54" s="41" t="s">
        <v>18</v>
      </c>
      <c r="C54" s="76">
        <v>454</v>
      </c>
      <c r="D54" s="76">
        <v>457</v>
      </c>
      <c r="E54" s="76">
        <v>519</v>
      </c>
      <c r="F54" s="76" t="s">
        <v>16</v>
      </c>
      <c r="H54" s="38"/>
      <c r="I54" s="38"/>
      <c r="J54" s="38"/>
      <c r="L54" s="21"/>
      <c r="M54" s="14"/>
      <c r="N54" s="15"/>
      <c r="O54" s="5"/>
    </row>
    <row r="55" spans="1:16" s="2" customFormat="1" ht="15.75" thickBot="1">
      <c r="A55" s="17" t="s">
        <v>254</v>
      </c>
      <c r="B55" s="18" t="s">
        <v>11</v>
      </c>
      <c r="C55" s="76">
        <v>277</v>
      </c>
      <c r="D55" s="76">
        <v>279</v>
      </c>
      <c r="E55" s="76" t="s">
        <v>16</v>
      </c>
      <c r="I55" s="38"/>
      <c r="J55" s="38"/>
      <c r="M55" s="22"/>
    </row>
    <row r="56" spans="1:16" s="2" customFormat="1" ht="15">
      <c r="A56" s="40"/>
    </row>
    <row r="57" spans="1:16">
      <c r="A57" s="27"/>
      <c r="B57" s="27" t="s">
        <v>19</v>
      </c>
      <c r="C57" s="28" t="s">
        <v>8</v>
      </c>
      <c r="D57" s="29" t="s">
        <v>3</v>
      </c>
      <c r="E57" s="31" t="s">
        <v>11</v>
      </c>
      <c r="F57" s="27" t="s">
        <v>17</v>
      </c>
      <c r="G57" s="83"/>
    </row>
    <row r="58" spans="1:16" ht="14.25">
      <c r="A58" s="32" t="s">
        <v>5</v>
      </c>
      <c r="B58" s="33">
        <f>SUM(M51+L36+K22+L8)</f>
        <v>27556</v>
      </c>
      <c r="C58" s="34">
        <f>SUM(M47+L33+K19+L5)</f>
        <v>14750</v>
      </c>
      <c r="D58" s="34">
        <f>SUM(M48+L34+K20+L6)</f>
        <v>10019</v>
      </c>
      <c r="E58" s="34">
        <f>SUM(M49+K21+L7)</f>
        <v>1548</v>
      </c>
      <c r="F58" s="34">
        <f>SUM(L35+M50)</f>
        <v>1239</v>
      </c>
      <c r="G58" s="34"/>
    </row>
    <row r="59" spans="1:16" ht="14.25">
      <c r="A59" s="32" t="s">
        <v>6</v>
      </c>
      <c r="B59" s="35">
        <v>1</v>
      </c>
      <c r="C59" s="36">
        <f>SUM(C58/$B$58)</f>
        <v>0.53527362461895778</v>
      </c>
      <c r="D59" s="36">
        <f>SUM(D58/$B$58)</f>
        <v>0.36358687763100594</v>
      </c>
      <c r="E59" s="36">
        <f>SUM(E58/$B$58)</f>
        <v>5.6176513282043837E-2</v>
      </c>
      <c r="F59" s="36">
        <f>SUM(F58/$B$58)</f>
        <v>4.4962984467992455E-2</v>
      </c>
      <c r="G59" s="36"/>
    </row>
    <row r="60" spans="1:16" ht="14.25">
      <c r="A60" s="32" t="s">
        <v>7</v>
      </c>
      <c r="B60" s="27">
        <v>25</v>
      </c>
      <c r="C60">
        <v>14</v>
      </c>
      <c r="D60">
        <v>10</v>
      </c>
      <c r="E60">
        <v>0</v>
      </c>
      <c r="F60">
        <v>1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63"/>
  <sheetViews>
    <sheetView workbookViewId="0">
      <selection activeCell="O1" sqref="O1"/>
    </sheetView>
  </sheetViews>
  <sheetFormatPr defaultRowHeight="12.75"/>
  <cols>
    <col min="1" max="1" width="23.42578125" customWidth="1"/>
  </cols>
  <sheetData>
    <row r="1" spans="1:14" s="2" customFormat="1" ht="14.25">
      <c r="A1" s="1" t="s">
        <v>244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(5537/7763)</f>
        <v>0.71325518485121731</v>
      </c>
    </row>
    <row r="4" spans="1:14" s="2" customFormat="1" ht="15.75" thickBot="1">
      <c r="A4" s="7" t="s">
        <v>245</v>
      </c>
      <c r="B4" s="11" t="s">
        <v>18</v>
      </c>
      <c r="C4" s="9">
        <v>1071</v>
      </c>
      <c r="D4" s="76"/>
      <c r="E4" s="76"/>
      <c r="F4" s="76"/>
      <c r="G4" s="76"/>
      <c r="H4" s="76"/>
      <c r="I4" s="76"/>
      <c r="J4" s="75" t="s">
        <v>4</v>
      </c>
      <c r="K4" s="5"/>
      <c r="L4" s="6" t="s">
        <v>5</v>
      </c>
      <c r="M4" s="6" t="s">
        <v>6</v>
      </c>
      <c r="N4" s="6" t="s">
        <v>7</v>
      </c>
    </row>
    <row r="5" spans="1:14" s="2" customFormat="1" ht="15.75" thickBot="1">
      <c r="A5" s="7" t="s">
        <v>130</v>
      </c>
      <c r="B5" s="8" t="s">
        <v>8</v>
      </c>
      <c r="C5" s="76">
        <v>885</v>
      </c>
      <c r="D5" s="76">
        <v>898</v>
      </c>
      <c r="E5" s="9">
        <v>969</v>
      </c>
      <c r="F5" s="76"/>
      <c r="G5" s="9"/>
      <c r="H5" s="9"/>
      <c r="I5" s="9"/>
      <c r="J5" s="75" t="s">
        <v>9</v>
      </c>
      <c r="K5" s="13" t="s">
        <v>8</v>
      </c>
      <c r="L5" s="14">
        <f>SUM(C5+C6+C7+C13)</f>
        <v>2373</v>
      </c>
      <c r="M5" s="15">
        <f>SUM(L5/L9)</f>
        <v>0.43239795918367346</v>
      </c>
      <c r="N5" s="5">
        <v>3</v>
      </c>
    </row>
    <row r="6" spans="1:14" s="2" customFormat="1" ht="15.75" thickBot="1">
      <c r="A6" s="7" t="s">
        <v>131</v>
      </c>
      <c r="B6" s="8" t="s">
        <v>8</v>
      </c>
      <c r="C6" s="76">
        <v>696</v>
      </c>
      <c r="D6" s="76">
        <v>700</v>
      </c>
      <c r="E6" s="76">
        <v>709</v>
      </c>
      <c r="F6" s="76">
        <v>729</v>
      </c>
      <c r="G6" s="76">
        <v>737</v>
      </c>
      <c r="H6" s="76">
        <v>835</v>
      </c>
      <c r="I6" s="9">
        <v>858</v>
      </c>
      <c r="J6" s="11" t="s">
        <v>15</v>
      </c>
      <c r="K6" s="16" t="s">
        <v>3</v>
      </c>
      <c r="L6" s="14">
        <f>SUM(C8+C9+C11)</f>
        <v>1388</v>
      </c>
      <c r="M6" s="15">
        <f>SUM(L6/L9)</f>
        <v>0.25291545189504372</v>
      </c>
      <c r="N6" s="5">
        <v>1</v>
      </c>
    </row>
    <row r="7" spans="1:14" s="2" customFormat="1" ht="15.75" thickBot="1">
      <c r="A7" s="7" t="s">
        <v>133</v>
      </c>
      <c r="B7" s="8" t="s">
        <v>8</v>
      </c>
      <c r="C7" s="76">
        <v>588</v>
      </c>
      <c r="D7" s="76">
        <v>615</v>
      </c>
      <c r="E7" s="76">
        <v>658</v>
      </c>
      <c r="F7" s="76">
        <v>730</v>
      </c>
      <c r="G7" s="76">
        <v>763</v>
      </c>
      <c r="H7" s="76">
        <v>851</v>
      </c>
      <c r="I7" s="9">
        <v>1009</v>
      </c>
      <c r="J7" s="75" t="s">
        <v>12</v>
      </c>
      <c r="K7" s="19" t="s">
        <v>11</v>
      </c>
      <c r="L7" s="38">
        <v>400</v>
      </c>
      <c r="M7" s="39">
        <f>SUM(L7/L9)</f>
        <v>7.2886297376093298E-2</v>
      </c>
    </row>
    <row r="8" spans="1:14" s="2" customFormat="1" ht="15.75" thickBot="1">
      <c r="A8" s="7" t="s">
        <v>246</v>
      </c>
      <c r="B8" s="20" t="s">
        <v>3</v>
      </c>
      <c r="C8" s="76">
        <v>564</v>
      </c>
      <c r="D8" s="76">
        <v>591</v>
      </c>
      <c r="E8" s="76">
        <v>646</v>
      </c>
      <c r="F8" s="76">
        <v>713</v>
      </c>
      <c r="G8" s="76">
        <v>722</v>
      </c>
      <c r="H8" s="76">
        <v>757</v>
      </c>
      <c r="I8" s="9">
        <v>860</v>
      </c>
      <c r="J8" s="75" t="s">
        <v>10</v>
      </c>
      <c r="K8" s="26" t="s">
        <v>17</v>
      </c>
      <c r="L8" s="38">
        <f>SUM(C4+C12)</f>
        <v>1327</v>
      </c>
      <c r="M8" s="39">
        <f>SUM(L8/L9)</f>
        <v>0.24180029154518951</v>
      </c>
      <c r="N8" s="2">
        <v>1</v>
      </c>
    </row>
    <row r="9" spans="1:14" s="2" customFormat="1" ht="15.75" thickBot="1">
      <c r="A9" s="17" t="s">
        <v>247</v>
      </c>
      <c r="B9" s="25" t="s">
        <v>3</v>
      </c>
      <c r="C9" s="76">
        <v>432</v>
      </c>
      <c r="D9" s="76">
        <v>448</v>
      </c>
      <c r="E9" s="76">
        <v>450</v>
      </c>
      <c r="F9" s="76">
        <v>463</v>
      </c>
      <c r="G9" s="76">
        <v>464</v>
      </c>
      <c r="H9" s="76">
        <v>525</v>
      </c>
      <c r="I9" s="76">
        <v>652</v>
      </c>
      <c r="J9" s="10"/>
      <c r="L9" s="22">
        <v>5488</v>
      </c>
    </row>
    <row r="10" spans="1:14" s="2" customFormat="1" ht="15.75" thickBot="1">
      <c r="A10" s="17" t="s">
        <v>136</v>
      </c>
      <c r="B10" s="18" t="s">
        <v>11</v>
      </c>
      <c r="C10" s="76">
        <v>400</v>
      </c>
      <c r="D10" s="76">
        <v>417</v>
      </c>
      <c r="E10" s="76">
        <v>422</v>
      </c>
      <c r="F10" s="76">
        <v>441</v>
      </c>
      <c r="G10" s="76">
        <v>443</v>
      </c>
      <c r="H10" s="76" t="s">
        <v>16</v>
      </c>
    </row>
    <row r="11" spans="1:14" s="2" customFormat="1" ht="15.75" thickBot="1">
      <c r="A11" s="17" t="s">
        <v>135</v>
      </c>
      <c r="B11" s="25" t="s">
        <v>3</v>
      </c>
      <c r="C11" s="76">
        <v>392</v>
      </c>
      <c r="D11" s="76">
        <v>425</v>
      </c>
      <c r="E11" s="76">
        <v>438</v>
      </c>
      <c r="F11" s="76">
        <v>466</v>
      </c>
      <c r="G11" s="76">
        <v>467</v>
      </c>
      <c r="H11" s="76">
        <v>493</v>
      </c>
      <c r="I11" s="76" t="s">
        <v>16</v>
      </c>
    </row>
    <row r="12" spans="1:14" s="2" customFormat="1" ht="15.75" thickBot="1">
      <c r="A12" s="17" t="s">
        <v>248</v>
      </c>
      <c r="B12" s="41" t="s">
        <v>18</v>
      </c>
      <c r="C12" s="76">
        <v>256</v>
      </c>
      <c r="D12" s="76">
        <v>267</v>
      </c>
      <c r="E12" s="76">
        <v>278</v>
      </c>
      <c r="F12" s="9" t="s">
        <v>16</v>
      </c>
      <c r="G12" s="38"/>
      <c r="H12" s="38"/>
      <c r="I12" s="38"/>
    </row>
    <row r="13" spans="1:14" s="2" customFormat="1" ht="15.75" thickBot="1">
      <c r="A13" s="17" t="s">
        <v>249</v>
      </c>
      <c r="B13" s="23" t="s">
        <v>8</v>
      </c>
      <c r="C13" s="76">
        <v>204</v>
      </c>
      <c r="D13" s="76">
        <v>212</v>
      </c>
      <c r="E13" s="76" t="s">
        <v>16</v>
      </c>
      <c r="F13" s="38"/>
      <c r="G13" s="38"/>
      <c r="H13" s="38"/>
      <c r="I13" s="38"/>
    </row>
    <row r="14" spans="1:14" s="2" customFormat="1" ht="14.25"/>
    <row r="15" spans="1:14" s="2" customFormat="1" ht="14.25">
      <c r="A15" s="1" t="s">
        <v>250</v>
      </c>
    </row>
    <row r="16" spans="1:14" s="2" customFormat="1" ht="9.75" customHeight="1" thickBot="1">
      <c r="A16" s="1"/>
    </row>
    <row r="17" spans="1:16" s="2" customFormat="1" ht="15.75" thickBot="1">
      <c r="A17" s="3" t="s">
        <v>0</v>
      </c>
      <c r="B17" s="4" t="s">
        <v>1</v>
      </c>
      <c r="C17" s="4" t="s">
        <v>2</v>
      </c>
      <c r="D17" s="4">
        <v>2</v>
      </c>
      <c r="E17" s="4">
        <v>3</v>
      </c>
      <c r="F17" s="4">
        <v>4</v>
      </c>
      <c r="G17" s="4">
        <v>5</v>
      </c>
      <c r="H17" s="4">
        <v>6</v>
      </c>
      <c r="I17" s="4">
        <v>7</v>
      </c>
      <c r="J17" s="4">
        <v>8</v>
      </c>
      <c r="K17" s="4">
        <v>9</v>
      </c>
      <c r="L17" s="4"/>
      <c r="M17" s="6" t="s">
        <v>289</v>
      </c>
      <c r="N17" s="39">
        <f>(7476/11865)</f>
        <v>0.63008849557522129</v>
      </c>
    </row>
    <row r="18" spans="1:16" s="2" customFormat="1" ht="15.75" thickBot="1">
      <c r="A18" s="7" t="s">
        <v>251</v>
      </c>
      <c r="B18" s="42" t="s">
        <v>18</v>
      </c>
      <c r="C18" s="9">
        <v>1001</v>
      </c>
      <c r="D18" s="76"/>
      <c r="E18" s="9"/>
      <c r="F18" s="76"/>
      <c r="G18" s="76"/>
      <c r="H18" s="76"/>
      <c r="I18" s="76"/>
      <c r="J18" s="76"/>
      <c r="K18" s="76"/>
      <c r="L18" s="75" t="s">
        <v>4</v>
      </c>
      <c r="M18" s="5"/>
      <c r="N18" s="6" t="s">
        <v>5</v>
      </c>
      <c r="O18" s="6" t="s">
        <v>6</v>
      </c>
      <c r="P18" s="6" t="s">
        <v>7</v>
      </c>
    </row>
    <row r="19" spans="1:16" s="2" customFormat="1" ht="15.75" thickBot="1">
      <c r="A19" s="7" t="s">
        <v>147</v>
      </c>
      <c r="B19" s="20" t="s">
        <v>3</v>
      </c>
      <c r="C19" s="76">
        <v>895</v>
      </c>
      <c r="D19" s="76">
        <v>906</v>
      </c>
      <c r="E19" s="76">
        <v>918</v>
      </c>
      <c r="F19" s="9">
        <v>937</v>
      </c>
      <c r="G19" s="9"/>
      <c r="H19" s="9"/>
      <c r="I19" s="9"/>
      <c r="J19" s="76"/>
      <c r="K19" s="76"/>
      <c r="L19" s="75" t="s">
        <v>12</v>
      </c>
      <c r="M19" s="13" t="s">
        <v>8</v>
      </c>
      <c r="N19" s="14">
        <f>SUM(C20+C22+C24+C26+C27)</f>
        <v>2962</v>
      </c>
      <c r="O19" s="15">
        <f>SUM(N19/N24)</f>
        <v>0.39940668824163972</v>
      </c>
      <c r="P19" s="5">
        <v>3</v>
      </c>
    </row>
    <row r="20" spans="1:16" s="2" customFormat="1" ht="15.75" thickBot="1">
      <c r="A20" s="7" t="s">
        <v>144</v>
      </c>
      <c r="B20" s="8" t="s">
        <v>8</v>
      </c>
      <c r="C20" s="76">
        <v>891</v>
      </c>
      <c r="D20" s="76">
        <v>905</v>
      </c>
      <c r="E20" s="76">
        <v>912</v>
      </c>
      <c r="F20" s="9">
        <v>957</v>
      </c>
      <c r="G20" s="9"/>
      <c r="H20" s="9"/>
      <c r="I20" s="9"/>
      <c r="J20" s="76"/>
      <c r="K20" s="76"/>
      <c r="L20" s="75" t="s">
        <v>9</v>
      </c>
      <c r="M20" s="16" t="s">
        <v>3</v>
      </c>
      <c r="N20" s="14">
        <f>SUM(C19+C23+C21+C25)</f>
        <v>2735</v>
      </c>
      <c r="O20" s="15">
        <f>SUM(N20/N24)</f>
        <v>0.36879719525350596</v>
      </c>
      <c r="P20" s="5">
        <v>3</v>
      </c>
    </row>
    <row r="21" spans="1:16" s="2" customFormat="1" ht="15.75" thickBot="1">
      <c r="A21" s="7" t="s">
        <v>56</v>
      </c>
      <c r="B21" s="20" t="s">
        <v>3</v>
      </c>
      <c r="C21" s="76">
        <v>670</v>
      </c>
      <c r="D21" s="76">
        <v>676</v>
      </c>
      <c r="E21" s="76">
        <v>688</v>
      </c>
      <c r="F21" s="76">
        <v>712</v>
      </c>
      <c r="G21" s="76">
        <v>713</v>
      </c>
      <c r="H21" s="76">
        <v>768</v>
      </c>
      <c r="I21" s="76">
        <v>806</v>
      </c>
      <c r="J21" s="9">
        <v>1034</v>
      </c>
      <c r="K21" s="9"/>
      <c r="L21" s="75" t="s">
        <v>10</v>
      </c>
      <c r="M21" s="19" t="s">
        <v>11</v>
      </c>
      <c r="N21" s="14">
        <v>292</v>
      </c>
      <c r="O21" s="15">
        <f>SUM(N21/N24)</f>
        <v>3.9374325782092774E-2</v>
      </c>
      <c r="P21" s="5"/>
    </row>
    <row r="22" spans="1:16" s="2" customFormat="1" ht="15.75" thickBot="1">
      <c r="A22" s="7" t="s">
        <v>145</v>
      </c>
      <c r="B22" s="8" t="s">
        <v>8</v>
      </c>
      <c r="C22" s="76">
        <v>654</v>
      </c>
      <c r="D22" s="76">
        <v>659</v>
      </c>
      <c r="E22" s="76">
        <v>673</v>
      </c>
      <c r="F22" s="76">
        <v>720</v>
      </c>
      <c r="G22" s="76">
        <v>725</v>
      </c>
      <c r="H22" s="76">
        <v>753</v>
      </c>
      <c r="I22" s="76">
        <v>800</v>
      </c>
      <c r="J22" s="76">
        <v>829</v>
      </c>
      <c r="K22" s="9">
        <v>841</v>
      </c>
      <c r="L22" s="75" t="s">
        <v>14</v>
      </c>
      <c r="M22" s="21" t="s">
        <v>13</v>
      </c>
      <c r="N22" s="14">
        <v>320</v>
      </c>
      <c r="O22" s="15">
        <f>SUM(N22/N24)</f>
        <v>4.3149946062567425E-2</v>
      </c>
      <c r="P22" s="5"/>
    </row>
    <row r="23" spans="1:16" s="2" customFormat="1" ht="15.75" thickBot="1">
      <c r="A23" s="7" t="s">
        <v>202</v>
      </c>
      <c r="B23" s="20" t="s">
        <v>3</v>
      </c>
      <c r="C23" s="76">
        <v>641</v>
      </c>
      <c r="D23" s="76">
        <v>645</v>
      </c>
      <c r="E23" s="76">
        <v>651</v>
      </c>
      <c r="F23" s="76">
        <v>669</v>
      </c>
      <c r="G23" s="76">
        <v>669</v>
      </c>
      <c r="H23" s="76">
        <v>742</v>
      </c>
      <c r="I23" s="76">
        <v>788</v>
      </c>
      <c r="J23" s="9">
        <v>953</v>
      </c>
      <c r="K23" s="9"/>
      <c r="L23" s="75" t="s">
        <v>15</v>
      </c>
      <c r="M23" s="26" t="s">
        <v>17</v>
      </c>
      <c r="N23" s="14">
        <f>SUM(C18+C30)</f>
        <v>1107</v>
      </c>
      <c r="O23" s="15">
        <f>SUM(N23/N24)</f>
        <v>0.14927184466019416</v>
      </c>
      <c r="P23" s="5">
        <v>1</v>
      </c>
    </row>
    <row r="24" spans="1:16" s="2" customFormat="1" ht="15.75" thickBot="1">
      <c r="A24" s="17" t="s">
        <v>148</v>
      </c>
      <c r="B24" s="23" t="s">
        <v>8</v>
      </c>
      <c r="C24" s="76">
        <v>553</v>
      </c>
      <c r="D24" s="76">
        <v>557</v>
      </c>
      <c r="E24" s="76">
        <v>582</v>
      </c>
      <c r="F24" s="76">
        <v>606</v>
      </c>
      <c r="G24" s="76">
        <v>611</v>
      </c>
      <c r="H24" s="76">
        <v>648</v>
      </c>
      <c r="I24" s="76">
        <v>699</v>
      </c>
      <c r="J24" s="76">
        <v>737</v>
      </c>
      <c r="K24" s="76">
        <v>745</v>
      </c>
      <c r="L24" s="75"/>
      <c r="N24" s="22">
        <v>7416</v>
      </c>
    </row>
    <row r="25" spans="1:16" s="2" customFormat="1" ht="15.75" thickBot="1">
      <c r="A25" s="17" t="s">
        <v>108</v>
      </c>
      <c r="B25" s="25" t="s">
        <v>3</v>
      </c>
      <c r="C25" s="76">
        <v>529</v>
      </c>
      <c r="D25" s="76">
        <v>541</v>
      </c>
      <c r="E25" s="76">
        <v>543</v>
      </c>
      <c r="F25" s="76">
        <v>569</v>
      </c>
      <c r="G25" s="76">
        <v>572</v>
      </c>
      <c r="H25" s="76">
        <v>614</v>
      </c>
      <c r="I25" s="76">
        <v>631</v>
      </c>
      <c r="J25" s="76" t="s">
        <v>16</v>
      </c>
    </row>
    <row r="26" spans="1:16" s="2" customFormat="1" ht="15.75" thickBot="1">
      <c r="A26" s="7" t="s">
        <v>55</v>
      </c>
      <c r="B26" s="8" t="s">
        <v>8</v>
      </c>
      <c r="C26" s="76">
        <v>497</v>
      </c>
      <c r="D26" s="76">
        <v>501</v>
      </c>
      <c r="E26" s="76">
        <v>510</v>
      </c>
      <c r="F26" s="76">
        <v>528</v>
      </c>
      <c r="G26" s="76">
        <v>532</v>
      </c>
      <c r="H26" s="76">
        <v>578</v>
      </c>
      <c r="I26" s="76">
        <v>777</v>
      </c>
      <c r="J26" s="76">
        <v>815</v>
      </c>
      <c r="K26" s="9">
        <v>831</v>
      </c>
      <c r="L26" s="9" t="s">
        <v>57</v>
      </c>
    </row>
    <row r="27" spans="1:16" s="2" customFormat="1" ht="15.75" thickBot="1">
      <c r="A27" s="17" t="s">
        <v>252</v>
      </c>
      <c r="B27" s="23" t="s">
        <v>8</v>
      </c>
      <c r="C27" s="76">
        <v>367</v>
      </c>
      <c r="D27" s="76">
        <v>368</v>
      </c>
      <c r="E27" s="76">
        <v>372</v>
      </c>
      <c r="F27" s="76">
        <v>381</v>
      </c>
      <c r="G27" s="76">
        <v>391</v>
      </c>
      <c r="H27" s="76">
        <v>422</v>
      </c>
      <c r="I27" s="76" t="s">
        <v>16</v>
      </c>
    </row>
    <row r="28" spans="1:16" s="2" customFormat="1" ht="15.75" thickBot="1">
      <c r="A28" s="17" t="s">
        <v>253</v>
      </c>
      <c r="B28" s="24" t="s">
        <v>13</v>
      </c>
      <c r="C28" s="76">
        <v>320</v>
      </c>
      <c r="D28" s="76">
        <v>324</v>
      </c>
      <c r="E28" s="76">
        <v>333</v>
      </c>
      <c r="F28" s="76">
        <v>379</v>
      </c>
      <c r="G28" s="76">
        <v>380</v>
      </c>
      <c r="H28" s="76" t="s">
        <v>16</v>
      </c>
      <c r="J28" s="38"/>
    </row>
    <row r="29" spans="1:16" s="2" customFormat="1" ht="15.75" thickBot="1">
      <c r="A29" s="17" t="s">
        <v>254</v>
      </c>
      <c r="B29" s="18" t="s">
        <v>11</v>
      </c>
      <c r="C29" s="76">
        <v>292</v>
      </c>
      <c r="D29" s="76">
        <v>296</v>
      </c>
      <c r="E29" s="76">
        <v>302</v>
      </c>
      <c r="F29" s="76" t="s">
        <v>16</v>
      </c>
      <c r="J29" s="38"/>
    </row>
    <row r="30" spans="1:16" s="2" customFormat="1" ht="15.75" thickBot="1">
      <c r="A30" s="17" t="s">
        <v>255</v>
      </c>
      <c r="B30" s="41" t="s">
        <v>18</v>
      </c>
      <c r="C30" s="76">
        <v>106</v>
      </c>
      <c r="D30" s="76">
        <v>110</v>
      </c>
      <c r="E30" s="76" t="s">
        <v>16</v>
      </c>
      <c r="G30" s="38"/>
      <c r="H30" s="38"/>
      <c r="I30" s="38"/>
      <c r="J30" s="38"/>
    </row>
    <row r="31" spans="1:16" s="2" customFormat="1" ht="14.25"/>
    <row r="32" spans="1:16" s="2" customFormat="1" ht="14.25">
      <c r="A32" s="1" t="s">
        <v>178</v>
      </c>
    </row>
    <row r="33" spans="1:16" s="2" customFormat="1" ht="9" customHeight="1" thickBot="1">
      <c r="A33" s="1"/>
    </row>
    <row r="34" spans="1:16" s="2" customFormat="1" ht="15.75" thickBot="1">
      <c r="A34" s="3" t="s">
        <v>0</v>
      </c>
      <c r="B34" s="4" t="s">
        <v>1</v>
      </c>
      <c r="C34" s="4" t="s">
        <v>2</v>
      </c>
      <c r="D34" s="4">
        <v>2</v>
      </c>
      <c r="E34" s="4">
        <v>3</v>
      </c>
      <c r="F34" s="4">
        <v>4</v>
      </c>
      <c r="G34" s="4">
        <v>5</v>
      </c>
      <c r="H34" s="4">
        <v>6</v>
      </c>
      <c r="I34" s="4">
        <v>7</v>
      </c>
      <c r="J34" s="4">
        <v>8</v>
      </c>
      <c r="K34" s="4">
        <v>9</v>
      </c>
      <c r="L34" s="4"/>
      <c r="M34" s="6" t="s">
        <v>289</v>
      </c>
      <c r="N34" s="39">
        <f>(7544/11113)</f>
        <v>0.67884459641860884</v>
      </c>
    </row>
    <row r="35" spans="1:16" s="2" customFormat="1" ht="15.75" thickBot="1">
      <c r="A35" s="7" t="s">
        <v>185</v>
      </c>
      <c r="B35" s="42" t="s">
        <v>18</v>
      </c>
      <c r="C35" s="9">
        <v>958</v>
      </c>
      <c r="D35" s="9"/>
      <c r="E35" s="76"/>
      <c r="F35" s="76"/>
      <c r="G35" s="9"/>
      <c r="H35" s="76"/>
      <c r="I35" s="76"/>
      <c r="J35" s="9"/>
      <c r="K35" s="76"/>
      <c r="L35" s="75" t="s">
        <v>4</v>
      </c>
      <c r="M35" s="5"/>
      <c r="N35" s="6" t="s">
        <v>5</v>
      </c>
      <c r="O35" s="6" t="s">
        <v>6</v>
      </c>
      <c r="P35" s="6" t="s">
        <v>7</v>
      </c>
    </row>
    <row r="36" spans="1:16" s="2" customFormat="1" ht="15.75" thickBot="1">
      <c r="A36" s="7" t="s">
        <v>179</v>
      </c>
      <c r="B36" s="20" t="s">
        <v>3</v>
      </c>
      <c r="C36" s="76">
        <v>863</v>
      </c>
      <c r="D36" s="76">
        <v>866</v>
      </c>
      <c r="E36" s="76">
        <v>895</v>
      </c>
      <c r="F36" s="76">
        <v>896</v>
      </c>
      <c r="G36" s="9">
        <v>1121</v>
      </c>
      <c r="H36" s="76"/>
      <c r="I36" s="76"/>
      <c r="J36" s="9"/>
      <c r="K36" s="76"/>
      <c r="L36" s="75" t="s">
        <v>12</v>
      </c>
      <c r="M36" s="13" t="s">
        <v>8</v>
      </c>
      <c r="N36" s="14">
        <f>SUM(C37+C38+C41+C42+C43)</f>
        <v>3353</v>
      </c>
      <c r="O36" s="15">
        <f>SUM(N36/N39)</f>
        <v>0.44940356520573649</v>
      </c>
      <c r="P36" s="5">
        <v>3</v>
      </c>
    </row>
    <row r="37" spans="1:16" s="2" customFormat="1" ht="15.75" thickBot="1">
      <c r="A37" s="7" t="s">
        <v>110</v>
      </c>
      <c r="B37" s="8" t="s">
        <v>8</v>
      </c>
      <c r="C37" s="76">
        <v>850</v>
      </c>
      <c r="D37" s="76">
        <v>852</v>
      </c>
      <c r="E37" s="76">
        <v>861</v>
      </c>
      <c r="F37" s="76">
        <v>862</v>
      </c>
      <c r="G37" s="76">
        <v>871</v>
      </c>
      <c r="H37" s="76">
        <v>877</v>
      </c>
      <c r="I37" s="76">
        <v>880</v>
      </c>
      <c r="J37" s="9">
        <v>1028</v>
      </c>
      <c r="K37" s="76"/>
      <c r="L37" s="75" t="s">
        <v>15</v>
      </c>
      <c r="M37" s="16" t="s">
        <v>3</v>
      </c>
      <c r="N37" s="14">
        <f>SUM(C36+C39+C44+C45)</f>
        <v>2467</v>
      </c>
      <c r="O37" s="15">
        <f>SUM(N37/N39)</f>
        <v>0.33065272751641872</v>
      </c>
      <c r="P37" s="5">
        <v>2</v>
      </c>
    </row>
    <row r="38" spans="1:16" s="2" customFormat="1" ht="15.75" thickBot="1">
      <c r="A38" s="7" t="s">
        <v>109</v>
      </c>
      <c r="B38" s="8" t="s">
        <v>8</v>
      </c>
      <c r="C38" s="76">
        <v>848</v>
      </c>
      <c r="D38" s="76">
        <v>849</v>
      </c>
      <c r="E38" s="9">
        <v>940</v>
      </c>
      <c r="F38" s="76"/>
      <c r="G38" s="76"/>
      <c r="H38" s="76"/>
      <c r="I38" s="9"/>
      <c r="J38" s="9"/>
      <c r="K38" s="9"/>
      <c r="L38" s="75" t="s">
        <v>9</v>
      </c>
      <c r="M38" s="6" t="s">
        <v>17</v>
      </c>
      <c r="N38" s="38">
        <f>SUM(C35+C40)</f>
        <v>1641</v>
      </c>
      <c r="O38" s="39">
        <f>SUM(N38/N39)</f>
        <v>0.21994370727784479</v>
      </c>
      <c r="P38" s="2">
        <v>2</v>
      </c>
    </row>
    <row r="39" spans="1:16" s="2" customFormat="1" ht="15.75" thickBot="1">
      <c r="A39" s="7" t="s">
        <v>180</v>
      </c>
      <c r="B39" s="20" t="s">
        <v>3</v>
      </c>
      <c r="C39" s="76">
        <v>746</v>
      </c>
      <c r="D39" s="76">
        <v>751</v>
      </c>
      <c r="E39" s="76">
        <v>890</v>
      </c>
      <c r="F39" s="76">
        <v>892</v>
      </c>
      <c r="G39" s="9">
        <v>1054</v>
      </c>
      <c r="H39" s="76"/>
      <c r="I39" s="76"/>
      <c r="J39" s="76"/>
      <c r="K39" s="76"/>
      <c r="L39" s="11" t="s">
        <v>10</v>
      </c>
      <c r="N39" s="22">
        <v>7461</v>
      </c>
    </row>
    <row r="40" spans="1:16" s="2" customFormat="1" ht="15.75" thickBot="1">
      <c r="A40" s="7" t="s">
        <v>182</v>
      </c>
      <c r="B40" s="42" t="s">
        <v>18</v>
      </c>
      <c r="C40" s="76">
        <v>683</v>
      </c>
      <c r="D40" s="76">
        <v>688</v>
      </c>
      <c r="E40" s="76">
        <v>710</v>
      </c>
      <c r="F40" s="76">
        <v>710</v>
      </c>
      <c r="G40" s="76">
        <v>741</v>
      </c>
      <c r="H40" s="76">
        <v>831</v>
      </c>
      <c r="I40" s="76">
        <v>884</v>
      </c>
      <c r="J40" s="76">
        <v>916</v>
      </c>
      <c r="K40" s="9">
        <v>925</v>
      </c>
      <c r="L40" s="75" t="s">
        <v>14</v>
      </c>
    </row>
    <row r="41" spans="1:16" s="2" customFormat="1" ht="15.75" thickBot="1">
      <c r="A41" s="7" t="s">
        <v>181</v>
      </c>
      <c r="B41" s="8" t="s">
        <v>8</v>
      </c>
      <c r="C41" s="76">
        <v>579</v>
      </c>
      <c r="D41" s="76">
        <v>581</v>
      </c>
      <c r="E41" s="76">
        <v>588</v>
      </c>
      <c r="F41" s="76">
        <v>589</v>
      </c>
      <c r="G41" s="76">
        <v>614</v>
      </c>
      <c r="H41" s="76">
        <v>631</v>
      </c>
      <c r="I41" s="76">
        <v>634</v>
      </c>
      <c r="J41" s="76">
        <v>803</v>
      </c>
      <c r="K41" s="9">
        <v>863</v>
      </c>
      <c r="L41" s="9" t="s">
        <v>57</v>
      </c>
    </row>
    <row r="42" spans="1:16" s="2" customFormat="1" ht="15.75" thickBot="1">
      <c r="A42" s="17" t="s">
        <v>151</v>
      </c>
      <c r="B42" s="23" t="s">
        <v>8</v>
      </c>
      <c r="C42" s="80">
        <v>551</v>
      </c>
      <c r="D42" s="76">
        <v>553</v>
      </c>
      <c r="E42" s="76">
        <v>558</v>
      </c>
      <c r="F42" s="76">
        <v>558</v>
      </c>
      <c r="G42" s="76">
        <v>584</v>
      </c>
      <c r="H42" s="76">
        <v>594</v>
      </c>
      <c r="I42" s="76">
        <v>604</v>
      </c>
      <c r="J42" s="76">
        <v>712</v>
      </c>
      <c r="K42" s="76">
        <v>738</v>
      </c>
      <c r="L42" s="9"/>
    </row>
    <row r="43" spans="1:16" s="2" customFormat="1" ht="15.75" thickBot="1">
      <c r="A43" s="17" t="s">
        <v>112</v>
      </c>
      <c r="B43" s="23" t="s">
        <v>8</v>
      </c>
      <c r="C43" s="76">
        <v>525</v>
      </c>
      <c r="D43" s="76">
        <v>527</v>
      </c>
      <c r="E43" s="76">
        <v>537</v>
      </c>
      <c r="F43" s="76">
        <v>538</v>
      </c>
      <c r="G43" s="76">
        <v>574</v>
      </c>
      <c r="H43" s="76">
        <v>586</v>
      </c>
      <c r="I43" s="76">
        <v>600</v>
      </c>
      <c r="J43" s="76" t="s">
        <v>16</v>
      </c>
      <c r="K43" s="82"/>
    </row>
    <row r="44" spans="1:16" s="2" customFormat="1" ht="15.75" thickBot="1">
      <c r="A44" s="17" t="s">
        <v>184</v>
      </c>
      <c r="B44" s="25" t="s">
        <v>3</v>
      </c>
      <c r="C44" s="76">
        <v>434</v>
      </c>
      <c r="D44" s="76">
        <v>436</v>
      </c>
      <c r="E44" s="76">
        <v>535</v>
      </c>
      <c r="F44" s="76">
        <v>536</v>
      </c>
      <c r="G44" s="76" t="s">
        <v>16</v>
      </c>
      <c r="I44" s="81"/>
      <c r="J44" s="81"/>
      <c r="K44" s="82"/>
    </row>
    <row r="45" spans="1:16" s="2" customFormat="1" ht="15.75" thickBot="1">
      <c r="A45" s="17" t="s">
        <v>183</v>
      </c>
      <c r="B45" s="25" t="s">
        <v>3</v>
      </c>
      <c r="C45" s="76">
        <v>424</v>
      </c>
      <c r="D45" s="76">
        <v>425</v>
      </c>
      <c r="E45" s="76" t="s">
        <v>16</v>
      </c>
      <c r="H45" s="82"/>
      <c r="I45" s="81"/>
      <c r="J45" s="81"/>
      <c r="K45" s="82"/>
    </row>
    <row r="46" spans="1:16" s="2" customFormat="1" ht="14.25"/>
    <row r="47" spans="1:16" s="2" customFormat="1" ht="14.25">
      <c r="A47" s="1" t="s">
        <v>186</v>
      </c>
    </row>
    <row r="48" spans="1:16" s="2" customFormat="1" ht="9.75" customHeight="1" thickBot="1">
      <c r="A48" s="1"/>
    </row>
    <row r="49" spans="1:12" s="2" customFormat="1" ht="15.75" thickBot="1">
      <c r="A49" s="3" t="s">
        <v>0</v>
      </c>
      <c r="B49" s="4" t="s">
        <v>1</v>
      </c>
      <c r="C49" s="4" t="s">
        <v>2</v>
      </c>
      <c r="D49" s="4">
        <v>2</v>
      </c>
      <c r="E49" s="4">
        <v>3</v>
      </c>
      <c r="F49" s="4">
        <v>4</v>
      </c>
      <c r="G49" s="4">
        <v>5</v>
      </c>
      <c r="H49" s="4"/>
      <c r="I49" s="6" t="s">
        <v>289</v>
      </c>
      <c r="J49" s="39">
        <f>(6157/9442)</f>
        <v>0.65208642236814229</v>
      </c>
    </row>
    <row r="50" spans="1:12" s="2" customFormat="1" ht="15.75" thickBot="1">
      <c r="A50" s="7" t="s">
        <v>120</v>
      </c>
      <c r="B50" s="20" t="s">
        <v>3</v>
      </c>
      <c r="C50" s="9">
        <v>876</v>
      </c>
      <c r="D50" s="9"/>
      <c r="E50" s="9"/>
      <c r="F50" s="9"/>
      <c r="G50" s="9"/>
      <c r="H50" s="11" t="s">
        <v>4</v>
      </c>
      <c r="I50" s="5"/>
      <c r="J50" s="6" t="s">
        <v>5</v>
      </c>
      <c r="K50" s="6" t="s">
        <v>6</v>
      </c>
      <c r="L50" s="6" t="s">
        <v>7</v>
      </c>
    </row>
    <row r="51" spans="1:12" s="2" customFormat="1" ht="15.75" thickBot="1">
      <c r="A51" s="7" t="s">
        <v>123</v>
      </c>
      <c r="B51" s="20" t="s">
        <v>3</v>
      </c>
      <c r="C51" s="76">
        <v>711</v>
      </c>
      <c r="D51" s="9">
        <v>994</v>
      </c>
      <c r="E51" s="76"/>
      <c r="F51" s="9"/>
      <c r="G51" s="76"/>
      <c r="H51" s="11" t="s">
        <v>9</v>
      </c>
      <c r="I51" s="13" t="s">
        <v>8</v>
      </c>
      <c r="J51" s="14">
        <f>SUM(C52+C55+C56+C57)</f>
        <v>2624</v>
      </c>
      <c r="K51" s="15">
        <f>SUM(J51/J54)</f>
        <v>0.4307995403053686</v>
      </c>
      <c r="L51" s="5">
        <v>2</v>
      </c>
    </row>
    <row r="52" spans="1:12" s="2" customFormat="1" ht="15.75" thickBot="1">
      <c r="A52" s="7" t="s">
        <v>121</v>
      </c>
      <c r="B52" s="8" t="s">
        <v>8</v>
      </c>
      <c r="C52" s="76">
        <v>690</v>
      </c>
      <c r="D52" s="76">
        <v>702</v>
      </c>
      <c r="E52" s="76">
        <v>703</v>
      </c>
      <c r="F52" s="9">
        <v>939</v>
      </c>
      <c r="G52" s="76"/>
      <c r="H52" s="11" t="s">
        <v>12</v>
      </c>
      <c r="I52" s="16" t="s">
        <v>3</v>
      </c>
      <c r="J52" s="14">
        <f>SUM(C50+C51+C53+C58)</f>
        <v>2803</v>
      </c>
      <c r="K52" s="15">
        <f>SUM(J52/J54)</f>
        <v>0.46018716138565097</v>
      </c>
      <c r="L52" s="5">
        <v>3</v>
      </c>
    </row>
    <row r="53" spans="1:12" s="2" customFormat="1" ht="15.75" thickBot="1">
      <c r="A53" s="7" t="s">
        <v>187</v>
      </c>
      <c r="B53" s="20" t="s">
        <v>3</v>
      </c>
      <c r="C53" s="76">
        <v>669</v>
      </c>
      <c r="D53" s="76">
        <v>726</v>
      </c>
      <c r="E53" s="76">
        <v>812</v>
      </c>
      <c r="F53" s="76">
        <v>858</v>
      </c>
      <c r="G53" s="9">
        <v>864</v>
      </c>
      <c r="H53" s="11" t="s">
        <v>14</v>
      </c>
      <c r="I53" s="26" t="s">
        <v>17</v>
      </c>
      <c r="J53" s="14">
        <v>664</v>
      </c>
      <c r="K53" s="15">
        <f>SUM(J53/J54)</f>
        <v>0.10901329830898046</v>
      </c>
      <c r="L53" s="5">
        <v>1</v>
      </c>
    </row>
    <row r="54" spans="1:12" s="2" customFormat="1" ht="15.75" thickBot="1">
      <c r="A54" s="7" t="s">
        <v>188</v>
      </c>
      <c r="B54" s="42" t="s">
        <v>18</v>
      </c>
      <c r="C54" s="76">
        <v>664</v>
      </c>
      <c r="D54" s="76">
        <v>732</v>
      </c>
      <c r="E54" s="76">
        <v>752</v>
      </c>
      <c r="F54" s="9">
        <v>877</v>
      </c>
      <c r="G54" s="76"/>
      <c r="H54" s="11" t="s">
        <v>10</v>
      </c>
      <c r="J54" s="22">
        <v>6091</v>
      </c>
    </row>
    <row r="55" spans="1:12" s="2" customFormat="1" ht="15.75" thickBot="1">
      <c r="A55" s="7" t="s">
        <v>191</v>
      </c>
      <c r="B55" s="8" t="s">
        <v>8</v>
      </c>
      <c r="C55" s="76">
        <v>654</v>
      </c>
      <c r="D55" s="76">
        <v>717</v>
      </c>
      <c r="E55" s="76">
        <v>727</v>
      </c>
      <c r="F55" s="76">
        <v>830</v>
      </c>
      <c r="G55" s="9">
        <v>872</v>
      </c>
      <c r="H55" s="11" t="s">
        <v>15</v>
      </c>
    </row>
    <row r="56" spans="1:12" s="2" customFormat="1" ht="15.75" thickBot="1">
      <c r="A56" s="17" t="s">
        <v>189</v>
      </c>
      <c r="B56" s="23" t="s">
        <v>8</v>
      </c>
      <c r="C56" s="76">
        <v>647</v>
      </c>
      <c r="D56" s="76">
        <v>676</v>
      </c>
      <c r="E56" s="76">
        <v>678</v>
      </c>
      <c r="F56" s="76">
        <v>779</v>
      </c>
      <c r="G56" s="76">
        <v>799</v>
      </c>
      <c r="H56" s="12"/>
    </row>
    <row r="57" spans="1:12" s="2" customFormat="1" ht="15.75" thickBot="1">
      <c r="A57" s="17" t="s">
        <v>161</v>
      </c>
      <c r="B57" s="23" t="s">
        <v>8</v>
      </c>
      <c r="C57" s="76">
        <v>633</v>
      </c>
      <c r="D57" s="76">
        <v>652</v>
      </c>
      <c r="E57" s="76">
        <v>656</v>
      </c>
      <c r="F57" s="76" t="s">
        <v>16</v>
      </c>
      <c r="K57" s="22"/>
    </row>
    <row r="58" spans="1:12" s="2" customFormat="1" ht="15.75" thickBot="1">
      <c r="A58" s="17" t="s">
        <v>190</v>
      </c>
      <c r="B58" s="25" t="s">
        <v>3</v>
      </c>
      <c r="C58" s="76">
        <v>547</v>
      </c>
      <c r="D58" s="76" t="s">
        <v>16</v>
      </c>
      <c r="H58" s="45"/>
    </row>
    <row r="59" spans="1:12" s="2" customFormat="1" ht="15">
      <c r="A59" s="40"/>
    </row>
    <row r="60" spans="1:12">
      <c r="A60" s="27"/>
      <c r="B60" s="27" t="s">
        <v>19</v>
      </c>
      <c r="C60" s="28" t="s">
        <v>8</v>
      </c>
      <c r="D60" s="29" t="s">
        <v>3</v>
      </c>
      <c r="E60" s="31" t="s">
        <v>11</v>
      </c>
      <c r="F60" s="91" t="s">
        <v>13</v>
      </c>
      <c r="G60" s="27" t="s">
        <v>17</v>
      </c>
      <c r="H60" s="46"/>
    </row>
    <row r="61" spans="1:12" ht="14.25">
      <c r="A61" s="32" t="s">
        <v>5</v>
      </c>
      <c r="B61" s="33">
        <f>SUM(J54+N39+N24+L9)</f>
        <v>26456</v>
      </c>
      <c r="C61" s="34">
        <f>SUM(J51+N36+N19+L5)</f>
        <v>11312</v>
      </c>
      <c r="D61" s="34">
        <f>SUM(J52+N37+N20+L6)</f>
        <v>9393</v>
      </c>
      <c r="E61" s="34">
        <f>SUM(L7+N21)</f>
        <v>692</v>
      </c>
      <c r="F61" s="34">
        <v>320</v>
      </c>
      <c r="G61" s="34">
        <f>SUM(N38+N23+J53+L8)</f>
        <v>4739</v>
      </c>
      <c r="H61" s="34"/>
    </row>
    <row r="62" spans="1:12" ht="14.25">
      <c r="A62" s="32" t="s">
        <v>6</v>
      </c>
      <c r="B62" s="35">
        <v>1</v>
      </c>
      <c r="C62" s="36">
        <f>SUM(C61/$B$61)</f>
        <v>0.42757786513456303</v>
      </c>
      <c r="D62" s="36">
        <f>SUM(D61/$B$61)</f>
        <v>0.35504233444209254</v>
      </c>
      <c r="E62" s="36">
        <f>SUM(E61/$B$61)</f>
        <v>2.6156637435742366E-2</v>
      </c>
      <c r="F62" s="36">
        <f>SUM(F61/$B$61)</f>
        <v>1.2095554883580285E-2</v>
      </c>
      <c r="G62" s="36">
        <f>SUM(G61/$B$61)</f>
        <v>0.17912760810402178</v>
      </c>
      <c r="H62" s="36"/>
    </row>
    <row r="63" spans="1:12" ht="14.25">
      <c r="A63" s="32" t="s">
        <v>7</v>
      </c>
      <c r="B63" s="27">
        <v>25</v>
      </c>
      <c r="C63">
        <v>11</v>
      </c>
      <c r="D63">
        <v>9</v>
      </c>
      <c r="E63">
        <v>0</v>
      </c>
      <c r="F63">
        <v>0</v>
      </c>
      <c r="G63">
        <v>5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64"/>
  <sheetViews>
    <sheetView workbookViewId="0">
      <selection activeCell="O1" sqref="O1"/>
    </sheetView>
  </sheetViews>
  <sheetFormatPr defaultRowHeight="12.75"/>
  <cols>
    <col min="1" max="1" width="24.7109375" customWidth="1"/>
  </cols>
  <sheetData>
    <row r="1" spans="1:14" s="2" customFormat="1" ht="17.25" customHeight="1">
      <c r="A1" s="1" t="s">
        <v>282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/>
      <c r="K3" s="6" t="s">
        <v>289</v>
      </c>
      <c r="L3" s="39">
        <f>(5869/8363)</f>
        <v>0.70178165730001196</v>
      </c>
    </row>
    <row r="4" spans="1:14" s="2" customFormat="1" ht="15.75" thickBot="1">
      <c r="A4" s="7" t="s">
        <v>130</v>
      </c>
      <c r="B4" s="8" t="s">
        <v>8</v>
      </c>
      <c r="C4" s="9">
        <v>1061</v>
      </c>
      <c r="D4" s="76"/>
      <c r="E4" s="76"/>
      <c r="F4" s="76"/>
      <c r="G4" s="76"/>
      <c r="H4" s="76"/>
      <c r="I4" s="76"/>
      <c r="J4" s="75" t="s">
        <v>4</v>
      </c>
      <c r="K4" s="5"/>
      <c r="L4" s="6" t="s">
        <v>5</v>
      </c>
      <c r="M4" s="6" t="s">
        <v>6</v>
      </c>
      <c r="N4" s="6" t="s">
        <v>7</v>
      </c>
    </row>
    <row r="5" spans="1:14" s="2" customFormat="1" ht="15.75" thickBot="1">
      <c r="A5" s="7" t="s">
        <v>131</v>
      </c>
      <c r="B5" s="8" t="s">
        <v>8</v>
      </c>
      <c r="C5" s="76">
        <v>861</v>
      </c>
      <c r="D5" s="76">
        <v>889</v>
      </c>
      <c r="E5" s="76">
        <v>911</v>
      </c>
      <c r="F5" s="76">
        <v>926</v>
      </c>
      <c r="G5" s="9">
        <v>1007</v>
      </c>
      <c r="H5" s="9"/>
      <c r="I5" s="9"/>
      <c r="J5" s="75" t="s">
        <v>9</v>
      </c>
      <c r="K5" s="13" t="s">
        <v>8</v>
      </c>
      <c r="L5" s="14">
        <f>SUM(C4+C5+C7+C9)</f>
        <v>3074</v>
      </c>
      <c r="M5" s="15">
        <f>SUM(L5/L9)</f>
        <v>0.53100708239765071</v>
      </c>
      <c r="N5" s="5">
        <v>3</v>
      </c>
    </row>
    <row r="6" spans="1:14" s="2" customFormat="1" ht="15.75" thickBot="1">
      <c r="A6" s="7" t="s">
        <v>132</v>
      </c>
      <c r="B6" s="20" t="s">
        <v>3</v>
      </c>
      <c r="C6" s="76">
        <v>712</v>
      </c>
      <c r="D6" s="76">
        <v>728</v>
      </c>
      <c r="E6" s="76">
        <v>822</v>
      </c>
      <c r="F6" s="76">
        <v>859</v>
      </c>
      <c r="G6" s="76">
        <v>939</v>
      </c>
      <c r="H6" s="76">
        <v>959</v>
      </c>
      <c r="I6" s="9">
        <v>999</v>
      </c>
      <c r="J6" s="11" t="s">
        <v>10</v>
      </c>
      <c r="K6" s="16" t="s">
        <v>3</v>
      </c>
      <c r="L6" s="14">
        <f>SUM(C6+C8+C10+C13)</f>
        <v>1980</v>
      </c>
      <c r="M6" s="15">
        <f>SUM(L6/L9)</f>
        <v>0.34202798410779062</v>
      </c>
      <c r="N6" s="5">
        <v>2</v>
      </c>
    </row>
    <row r="7" spans="1:14" s="2" customFormat="1" ht="15.75" thickBot="1">
      <c r="A7" s="7" t="s">
        <v>133</v>
      </c>
      <c r="B7" s="8" t="s">
        <v>8</v>
      </c>
      <c r="C7" s="76">
        <v>642</v>
      </c>
      <c r="D7" s="76">
        <v>660</v>
      </c>
      <c r="E7" s="76">
        <v>667</v>
      </c>
      <c r="F7" s="76">
        <v>765</v>
      </c>
      <c r="G7" s="76">
        <v>856</v>
      </c>
      <c r="H7" s="76">
        <v>865</v>
      </c>
      <c r="I7" s="9">
        <v>1077</v>
      </c>
      <c r="J7" s="75" t="s">
        <v>12</v>
      </c>
      <c r="K7" s="19" t="s">
        <v>11</v>
      </c>
      <c r="L7" s="38">
        <v>384</v>
      </c>
      <c r="M7" s="39">
        <f>SUM(L7/L9)</f>
        <v>6.6332699948177573E-2</v>
      </c>
    </row>
    <row r="8" spans="1:14" s="2" customFormat="1" ht="15.75" thickBot="1">
      <c r="A8" s="7" t="s">
        <v>165</v>
      </c>
      <c r="B8" s="20" t="s">
        <v>3</v>
      </c>
      <c r="C8" s="76">
        <v>602</v>
      </c>
      <c r="D8" s="76">
        <v>608</v>
      </c>
      <c r="E8" s="76">
        <v>651</v>
      </c>
      <c r="F8" s="76">
        <v>715</v>
      </c>
      <c r="G8" s="76">
        <v>741</v>
      </c>
      <c r="H8" s="76">
        <v>744</v>
      </c>
      <c r="I8" s="9">
        <v>925</v>
      </c>
      <c r="J8" s="75" t="s">
        <v>15</v>
      </c>
      <c r="K8" s="26" t="s">
        <v>17</v>
      </c>
      <c r="L8" s="38">
        <v>351</v>
      </c>
      <c r="M8" s="39">
        <f>SUM(L8/L9)</f>
        <v>6.0632233546381066E-2</v>
      </c>
    </row>
    <row r="9" spans="1:14" s="2" customFormat="1" ht="15.75" thickBot="1">
      <c r="A9" s="17" t="s">
        <v>134</v>
      </c>
      <c r="B9" s="23" t="s">
        <v>8</v>
      </c>
      <c r="C9" s="76">
        <v>510</v>
      </c>
      <c r="D9" s="76">
        <v>521</v>
      </c>
      <c r="E9" s="76">
        <v>525</v>
      </c>
      <c r="F9" s="76">
        <v>542</v>
      </c>
      <c r="G9" s="76">
        <v>576</v>
      </c>
      <c r="H9" s="76">
        <v>585</v>
      </c>
      <c r="I9" s="9" t="s">
        <v>16</v>
      </c>
      <c r="L9" s="22">
        <v>5789</v>
      </c>
    </row>
    <row r="10" spans="1:14" s="2" customFormat="1" ht="15.75" thickBot="1">
      <c r="A10" s="17" t="s">
        <v>135</v>
      </c>
      <c r="B10" s="25" t="s">
        <v>3</v>
      </c>
      <c r="C10" s="76">
        <v>440</v>
      </c>
      <c r="D10" s="76">
        <v>442</v>
      </c>
      <c r="E10" s="76">
        <v>478</v>
      </c>
      <c r="F10" s="76">
        <v>554</v>
      </c>
      <c r="G10" s="76">
        <v>589</v>
      </c>
      <c r="H10" s="76">
        <v>590</v>
      </c>
      <c r="I10" s="76">
        <v>627</v>
      </c>
      <c r="J10" s="10"/>
    </row>
    <row r="11" spans="1:14" s="2" customFormat="1" ht="15.75" thickBot="1">
      <c r="A11" s="17" t="s">
        <v>136</v>
      </c>
      <c r="B11" s="18" t="s">
        <v>11</v>
      </c>
      <c r="C11" s="76">
        <v>384</v>
      </c>
      <c r="D11" s="76">
        <v>390</v>
      </c>
      <c r="E11" s="76">
        <v>400</v>
      </c>
      <c r="F11" s="76">
        <v>429</v>
      </c>
      <c r="G11" s="76" t="s">
        <v>16</v>
      </c>
      <c r="H11" s="38"/>
      <c r="I11" s="38"/>
    </row>
    <row r="12" spans="1:14" s="2" customFormat="1" ht="15.75" thickBot="1">
      <c r="A12" s="17" t="s">
        <v>137</v>
      </c>
      <c r="B12" s="41" t="s">
        <v>18</v>
      </c>
      <c r="C12" s="76">
        <v>351</v>
      </c>
      <c r="D12" s="76">
        <v>353</v>
      </c>
      <c r="E12" s="76">
        <v>365</v>
      </c>
      <c r="F12" s="9" t="s">
        <v>16</v>
      </c>
      <c r="G12" s="38"/>
      <c r="H12" s="38"/>
      <c r="I12" s="38"/>
    </row>
    <row r="13" spans="1:14" s="2" customFormat="1" ht="15.75" thickBot="1">
      <c r="A13" s="17" t="s">
        <v>138</v>
      </c>
      <c r="B13" s="25" t="s">
        <v>3</v>
      </c>
      <c r="C13" s="76">
        <v>226</v>
      </c>
      <c r="D13" s="76">
        <v>233</v>
      </c>
      <c r="E13" s="76" t="s">
        <v>16</v>
      </c>
      <c r="F13" s="38"/>
      <c r="G13" s="38"/>
      <c r="H13" s="38"/>
      <c r="I13" s="38"/>
    </row>
    <row r="14" spans="1:14" s="2" customFormat="1" ht="14.25"/>
    <row r="15" spans="1:14" s="2" customFormat="1" ht="17.25" customHeight="1">
      <c r="A15" s="1" t="s">
        <v>139</v>
      </c>
    </row>
    <row r="16" spans="1:14" s="2" customFormat="1" ht="9.75" customHeight="1" thickBot="1">
      <c r="A16" s="1"/>
    </row>
    <row r="17" spans="1:15" s="2" customFormat="1" ht="15.75" thickBot="1">
      <c r="A17" s="3" t="s">
        <v>0</v>
      </c>
      <c r="B17" s="4" t="s">
        <v>1</v>
      </c>
      <c r="C17" s="4" t="s">
        <v>2</v>
      </c>
      <c r="D17" s="4">
        <v>2</v>
      </c>
      <c r="E17" s="4">
        <v>3</v>
      </c>
      <c r="F17" s="4">
        <v>4</v>
      </c>
      <c r="G17" s="4">
        <v>5</v>
      </c>
      <c r="H17" s="4">
        <v>6</v>
      </c>
      <c r="I17" s="4">
        <v>7</v>
      </c>
      <c r="J17" s="4">
        <v>8</v>
      </c>
      <c r="K17" s="4"/>
      <c r="L17" s="6" t="s">
        <v>289</v>
      </c>
      <c r="M17" s="39">
        <f>(7574/13204)</f>
        <v>0.5736140563465616</v>
      </c>
    </row>
    <row r="18" spans="1:15" s="2" customFormat="1" ht="15.75" thickBot="1">
      <c r="A18" s="7" t="s">
        <v>148</v>
      </c>
      <c r="B18" s="8" t="s">
        <v>8</v>
      </c>
      <c r="C18" s="9">
        <v>1138</v>
      </c>
      <c r="D18" s="76"/>
      <c r="E18" s="9"/>
      <c r="F18" s="76"/>
      <c r="G18" s="76"/>
      <c r="H18" s="76"/>
      <c r="I18" s="76"/>
      <c r="J18" s="76"/>
      <c r="K18" s="75" t="s">
        <v>4</v>
      </c>
      <c r="L18" s="5"/>
      <c r="M18" s="6" t="s">
        <v>5</v>
      </c>
      <c r="N18" s="6" t="s">
        <v>6</v>
      </c>
      <c r="O18" s="6" t="s">
        <v>7</v>
      </c>
    </row>
    <row r="19" spans="1:15" s="2" customFormat="1" ht="15.75" thickBot="1">
      <c r="A19" s="7" t="s">
        <v>147</v>
      </c>
      <c r="B19" s="20" t="s">
        <v>3</v>
      </c>
      <c r="C19" s="9">
        <v>963</v>
      </c>
      <c r="D19" s="76"/>
      <c r="E19" s="9"/>
      <c r="F19" s="9"/>
      <c r="G19" s="9"/>
      <c r="H19" s="9"/>
      <c r="I19" s="9"/>
      <c r="J19" s="76"/>
      <c r="K19" s="75" t="s">
        <v>9</v>
      </c>
      <c r="L19" s="13" t="s">
        <v>8</v>
      </c>
      <c r="M19" s="14">
        <f>SUM(C18+C22+C23+C24)</f>
        <v>3366</v>
      </c>
      <c r="N19" s="15">
        <f>SUM(M19/M25)</f>
        <v>0.45187273459524768</v>
      </c>
      <c r="O19" s="5">
        <v>4</v>
      </c>
    </row>
    <row r="20" spans="1:15" s="2" customFormat="1" ht="15.75" thickBot="1">
      <c r="A20" s="7" t="s">
        <v>146</v>
      </c>
      <c r="B20" s="20" t="s">
        <v>3</v>
      </c>
      <c r="C20" s="76">
        <v>876</v>
      </c>
      <c r="D20" s="76">
        <v>894</v>
      </c>
      <c r="E20" s="76">
        <v>903</v>
      </c>
      <c r="F20" s="76">
        <v>917</v>
      </c>
      <c r="G20" s="9">
        <v>947</v>
      </c>
      <c r="H20" s="9"/>
      <c r="I20" s="9"/>
      <c r="J20" s="76"/>
      <c r="K20" s="75" t="s">
        <v>12</v>
      </c>
      <c r="L20" s="16" t="s">
        <v>3</v>
      </c>
      <c r="M20" s="14">
        <f>SUM(C19+C20+C25+C27)</f>
        <v>2608</v>
      </c>
      <c r="N20" s="15">
        <f>SUM(M20/M25)</f>
        <v>0.35011410927641295</v>
      </c>
      <c r="O20" s="5">
        <v>2</v>
      </c>
    </row>
    <row r="21" spans="1:15" s="2" customFormat="1" ht="15.75" thickBot="1">
      <c r="A21" s="7" t="s">
        <v>43</v>
      </c>
      <c r="B21" s="37" t="s">
        <v>11</v>
      </c>
      <c r="C21" s="76">
        <v>768</v>
      </c>
      <c r="D21" s="76">
        <v>783</v>
      </c>
      <c r="E21" s="76">
        <v>785</v>
      </c>
      <c r="F21" s="76">
        <v>800</v>
      </c>
      <c r="G21" s="76">
        <v>815</v>
      </c>
      <c r="H21" s="76">
        <v>817</v>
      </c>
      <c r="I21" s="76">
        <v>834</v>
      </c>
      <c r="J21" s="9">
        <v>912</v>
      </c>
      <c r="K21" s="75" t="s">
        <v>14</v>
      </c>
      <c r="L21" s="19" t="s">
        <v>11</v>
      </c>
      <c r="M21" s="14">
        <v>768</v>
      </c>
      <c r="N21" s="15">
        <f>SUM(M21/M25)</f>
        <v>0.10310108739428112</v>
      </c>
      <c r="O21" s="5">
        <v>1</v>
      </c>
    </row>
    <row r="22" spans="1:15" s="2" customFormat="1" ht="15.75" thickBot="1">
      <c r="A22" s="7" t="s">
        <v>55</v>
      </c>
      <c r="B22" s="8" t="s">
        <v>8</v>
      </c>
      <c r="C22" s="76">
        <v>763</v>
      </c>
      <c r="D22" s="76">
        <v>815</v>
      </c>
      <c r="E22" s="76">
        <v>818</v>
      </c>
      <c r="F22" s="76">
        <v>832</v>
      </c>
      <c r="G22" s="76">
        <v>877</v>
      </c>
      <c r="H22" s="76">
        <v>880</v>
      </c>
      <c r="I22" s="76">
        <v>899</v>
      </c>
      <c r="J22" s="9">
        <v>971</v>
      </c>
      <c r="K22" s="75" t="s">
        <v>10</v>
      </c>
      <c r="L22" s="21" t="s">
        <v>13</v>
      </c>
      <c r="M22" s="14">
        <v>177</v>
      </c>
      <c r="N22" s="15">
        <f>SUM(M22/M25)</f>
        <v>2.3761578735400725E-2</v>
      </c>
      <c r="O22" s="5"/>
    </row>
    <row r="23" spans="1:15" s="2" customFormat="1" ht="15.75" thickBot="1">
      <c r="A23" s="7" t="s">
        <v>145</v>
      </c>
      <c r="B23" s="8" t="s">
        <v>8</v>
      </c>
      <c r="C23" s="76">
        <v>736</v>
      </c>
      <c r="D23" s="76">
        <v>797</v>
      </c>
      <c r="E23" s="76">
        <v>800</v>
      </c>
      <c r="F23" s="76">
        <v>812</v>
      </c>
      <c r="G23" s="76">
        <v>821</v>
      </c>
      <c r="H23" s="76">
        <v>822</v>
      </c>
      <c r="I23" s="76">
        <v>829</v>
      </c>
      <c r="J23" s="9">
        <v>879</v>
      </c>
      <c r="K23" s="75" t="s">
        <v>57</v>
      </c>
      <c r="L23" s="44" t="s">
        <v>20</v>
      </c>
      <c r="M23" s="14">
        <v>138</v>
      </c>
      <c r="N23" s="15">
        <f>SUM(M23/M25)</f>
        <v>1.8525976641159889E-2</v>
      </c>
      <c r="O23" s="5"/>
    </row>
    <row r="24" spans="1:15" s="2" customFormat="1" ht="15.75" thickBot="1">
      <c r="A24" s="7" t="s">
        <v>144</v>
      </c>
      <c r="B24" s="8" t="s">
        <v>8</v>
      </c>
      <c r="C24" s="76">
        <v>729</v>
      </c>
      <c r="D24" s="76">
        <v>742</v>
      </c>
      <c r="E24" s="76">
        <v>743</v>
      </c>
      <c r="F24" s="76">
        <v>747</v>
      </c>
      <c r="G24" s="76">
        <v>751</v>
      </c>
      <c r="H24" s="76">
        <v>751</v>
      </c>
      <c r="I24" s="76">
        <v>802</v>
      </c>
      <c r="J24" s="9">
        <v>921</v>
      </c>
      <c r="K24" s="75" t="s">
        <v>15</v>
      </c>
      <c r="L24" s="26" t="s">
        <v>17</v>
      </c>
      <c r="M24" s="14">
        <v>392</v>
      </c>
      <c r="N24" s="15">
        <f>SUM(M24/M25)</f>
        <v>5.2624513357497647E-2</v>
      </c>
      <c r="O24" s="5"/>
    </row>
    <row r="25" spans="1:15" s="2" customFormat="1" ht="15.75" thickBot="1">
      <c r="A25" s="17" t="s">
        <v>120</v>
      </c>
      <c r="B25" s="25" t="s">
        <v>3</v>
      </c>
      <c r="C25" s="76">
        <v>521</v>
      </c>
      <c r="D25" s="76">
        <v>543</v>
      </c>
      <c r="E25" s="76">
        <v>550</v>
      </c>
      <c r="F25" s="76">
        <v>565</v>
      </c>
      <c r="G25" s="76">
        <v>601</v>
      </c>
      <c r="H25" s="76">
        <v>605</v>
      </c>
      <c r="I25" s="76">
        <v>717</v>
      </c>
      <c r="J25" s="76">
        <v>795</v>
      </c>
      <c r="K25" s="75"/>
      <c r="M25" s="22">
        <v>7449</v>
      </c>
    </row>
    <row r="26" spans="1:15" s="2" customFormat="1" ht="15.75" thickBot="1">
      <c r="A26" s="17" t="s">
        <v>143</v>
      </c>
      <c r="B26" s="41" t="s">
        <v>18</v>
      </c>
      <c r="C26" s="76">
        <v>392</v>
      </c>
      <c r="D26" s="76">
        <v>403</v>
      </c>
      <c r="E26" s="76">
        <v>404</v>
      </c>
      <c r="F26" s="76">
        <v>441</v>
      </c>
      <c r="G26" s="76">
        <v>474</v>
      </c>
      <c r="H26" s="76">
        <v>476</v>
      </c>
      <c r="I26" s="76">
        <v>514</v>
      </c>
      <c r="J26" s="76" t="s">
        <v>16</v>
      </c>
    </row>
    <row r="27" spans="1:15" s="2" customFormat="1" ht="15.75" thickBot="1">
      <c r="A27" s="17" t="s">
        <v>142</v>
      </c>
      <c r="B27" s="25" t="s">
        <v>3</v>
      </c>
      <c r="C27" s="76">
        <v>248</v>
      </c>
      <c r="D27" s="76">
        <v>250</v>
      </c>
      <c r="E27" s="76">
        <v>253</v>
      </c>
      <c r="F27" s="76">
        <v>253</v>
      </c>
      <c r="G27" s="76">
        <v>259</v>
      </c>
      <c r="H27" s="76">
        <v>262</v>
      </c>
      <c r="I27" s="76" t="s">
        <v>16</v>
      </c>
      <c r="J27" s="38"/>
    </row>
    <row r="28" spans="1:15" s="2" customFormat="1" ht="15.75" thickBot="1">
      <c r="A28" s="17" t="s">
        <v>141</v>
      </c>
      <c r="B28" s="24" t="s">
        <v>13</v>
      </c>
      <c r="C28" s="76">
        <v>177</v>
      </c>
      <c r="D28" s="76">
        <v>184</v>
      </c>
      <c r="E28" s="76">
        <v>185</v>
      </c>
      <c r="F28" s="76">
        <v>203</v>
      </c>
      <c r="G28" s="76" t="s">
        <v>16</v>
      </c>
      <c r="J28" s="38"/>
    </row>
    <row r="29" spans="1:15" s="2" customFormat="1" ht="15.75" thickBot="1">
      <c r="A29" s="17" t="s">
        <v>140</v>
      </c>
      <c r="B29" s="86" t="s">
        <v>20</v>
      </c>
      <c r="C29" s="76">
        <v>138</v>
      </c>
      <c r="D29" s="76">
        <v>143</v>
      </c>
      <c r="E29" s="76">
        <v>144</v>
      </c>
      <c r="F29" s="76" t="s">
        <v>16</v>
      </c>
      <c r="G29" s="38"/>
      <c r="H29" s="38"/>
      <c r="I29" s="38"/>
      <c r="J29" s="38"/>
    </row>
    <row r="30" spans="1:15" s="2" customFormat="1" ht="14.25"/>
    <row r="31" spans="1:15" s="2" customFormat="1" ht="17.25" customHeight="1">
      <c r="A31" s="1" t="s">
        <v>107</v>
      </c>
    </row>
    <row r="32" spans="1:15" s="2" customFormat="1" ht="9" customHeight="1" thickBot="1">
      <c r="A32" s="1"/>
    </row>
    <row r="33" spans="1:16" s="2" customFormat="1" ht="15.75" thickBot="1">
      <c r="A33" s="3" t="s">
        <v>0</v>
      </c>
      <c r="B33" s="4" t="s">
        <v>1</v>
      </c>
      <c r="C33" s="4" t="s">
        <v>2</v>
      </c>
      <c r="D33" s="4">
        <v>2</v>
      </c>
      <c r="E33" s="4">
        <v>3</v>
      </c>
      <c r="F33" s="4">
        <v>4</v>
      </c>
      <c r="G33" s="4">
        <v>5</v>
      </c>
      <c r="H33" s="4">
        <v>6</v>
      </c>
      <c r="I33" s="4">
        <v>7</v>
      </c>
      <c r="J33" s="4">
        <v>8</v>
      </c>
      <c r="K33" s="4">
        <v>9</v>
      </c>
      <c r="L33" s="4"/>
      <c r="M33" s="6" t="s">
        <v>289</v>
      </c>
      <c r="N33" s="39">
        <f>(8104/12368)</f>
        <v>0.65523932729624834</v>
      </c>
    </row>
    <row r="34" spans="1:16" s="2" customFormat="1" ht="15.75" thickBot="1">
      <c r="A34" s="7" t="s">
        <v>108</v>
      </c>
      <c r="B34" s="20" t="s">
        <v>3</v>
      </c>
      <c r="C34" s="9">
        <v>1264</v>
      </c>
      <c r="D34" s="9"/>
      <c r="E34" s="76"/>
      <c r="F34" s="76"/>
      <c r="G34" s="9"/>
      <c r="H34" s="76"/>
      <c r="I34" s="76"/>
      <c r="J34" s="9"/>
      <c r="K34" s="76"/>
      <c r="L34" s="75" t="s">
        <v>4</v>
      </c>
      <c r="M34" s="5"/>
      <c r="N34" s="6" t="s">
        <v>5</v>
      </c>
      <c r="O34" s="6" t="s">
        <v>6</v>
      </c>
      <c r="P34" s="6" t="s">
        <v>7</v>
      </c>
    </row>
    <row r="35" spans="1:16" s="2" customFormat="1" ht="15.75" thickBot="1">
      <c r="A35" s="7" t="s">
        <v>149</v>
      </c>
      <c r="B35" s="20" t="s">
        <v>3</v>
      </c>
      <c r="C35" s="9">
        <v>1145</v>
      </c>
      <c r="D35" s="76"/>
      <c r="E35" s="76"/>
      <c r="F35" s="76"/>
      <c r="G35" s="9"/>
      <c r="H35" s="76"/>
      <c r="I35" s="76"/>
      <c r="J35" s="9"/>
      <c r="K35" s="76"/>
      <c r="L35" s="75" t="s">
        <v>9</v>
      </c>
      <c r="M35" s="13" t="s">
        <v>8</v>
      </c>
      <c r="N35" s="14">
        <f>SUM(C36+C37+C39+C40+C43)</f>
        <v>3470</v>
      </c>
      <c r="O35" s="15">
        <f>SUM(N35/N39)</f>
        <v>0.43396698349174589</v>
      </c>
      <c r="P35" s="5">
        <v>4</v>
      </c>
    </row>
    <row r="36" spans="1:16" s="2" customFormat="1" ht="15.75" thickBot="1">
      <c r="A36" s="7" t="s">
        <v>109</v>
      </c>
      <c r="B36" s="8" t="s">
        <v>8</v>
      </c>
      <c r="C36" s="76">
        <v>987</v>
      </c>
      <c r="D36" s="76">
        <v>991</v>
      </c>
      <c r="E36" s="76">
        <v>995</v>
      </c>
      <c r="F36" s="9">
        <v>1116</v>
      </c>
      <c r="G36" s="76"/>
      <c r="H36" s="76"/>
      <c r="I36" s="76"/>
      <c r="J36" s="76"/>
      <c r="K36" s="76"/>
      <c r="L36" s="75" t="s">
        <v>12</v>
      </c>
      <c r="M36" s="16" t="s">
        <v>3</v>
      </c>
      <c r="N36" s="14">
        <f>SUM(C34+C35+C44)</f>
        <v>2707</v>
      </c>
      <c r="O36" s="15">
        <f>SUM(N36/N39)</f>
        <v>0.33854427213606803</v>
      </c>
      <c r="P36" s="5">
        <v>2</v>
      </c>
    </row>
    <row r="37" spans="1:16" s="2" customFormat="1" ht="15.75" thickBot="1">
      <c r="A37" s="7" t="s">
        <v>110</v>
      </c>
      <c r="B37" s="8" t="s">
        <v>8</v>
      </c>
      <c r="C37" s="76">
        <v>839</v>
      </c>
      <c r="D37" s="76">
        <v>867</v>
      </c>
      <c r="E37" s="76">
        <v>875</v>
      </c>
      <c r="F37" s="76">
        <v>893</v>
      </c>
      <c r="G37" s="76">
        <v>900</v>
      </c>
      <c r="H37" s="76">
        <v>997</v>
      </c>
      <c r="I37" s="9">
        <v>1079</v>
      </c>
      <c r="J37" s="9"/>
      <c r="K37" s="9"/>
      <c r="L37" s="75" t="s">
        <v>15</v>
      </c>
      <c r="M37" s="19" t="s">
        <v>11</v>
      </c>
      <c r="N37" s="14">
        <v>632</v>
      </c>
      <c r="O37" s="15">
        <f>SUM(N37/N39)</f>
        <v>7.9039519759879939E-2</v>
      </c>
      <c r="P37" s="5"/>
    </row>
    <row r="38" spans="1:16" s="2" customFormat="1" ht="15.75" thickBot="1">
      <c r="A38" s="17" t="s">
        <v>111</v>
      </c>
      <c r="B38" s="18" t="s">
        <v>11</v>
      </c>
      <c r="C38" s="76">
        <v>632</v>
      </c>
      <c r="D38" s="76">
        <v>656</v>
      </c>
      <c r="E38" s="76">
        <v>667</v>
      </c>
      <c r="F38" s="76">
        <v>701</v>
      </c>
      <c r="G38" s="76">
        <v>711</v>
      </c>
      <c r="H38" s="76">
        <v>763</v>
      </c>
      <c r="I38" s="76">
        <v>792</v>
      </c>
      <c r="J38" s="76">
        <v>798</v>
      </c>
      <c r="K38" s="76">
        <v>804</v>
      </c>
      <c r="L38" s="11"/>
      <c r="M38" s="6" t="s">
        <v>17</v>
      </c>
      <c r="N38" s="38">
        <f>SUM(C41+C42+C45)</f>
        <v>1187</v>
      </c>
      <c r="O38" s="39">
        <f>SUM(N38/N39)</f>
        <v>0.14844922461230614</v>
      </c>
      <c r="P38" s="2">
        <v>1</v>
      </c>
    </row>
    <row r="39" spans="1:16" s="2" customFormat="1" ht="15.75" thickBot="1">
      <c r="A39" s="7" t="s">
        <v>112</v>
      </c>
      <c r="B39" s="8" t="s">
        <v>8</v>
      </c>
      <c r="C39" s="76">
        <v>598</v>
      </c>
      <c r="D39" s="76">
        <v>606</v>
      </c>
      <c r="E39" s="76">
        <v>616</v>
      </c>
      <c r="F39" s="76">
        <v>661</v>
      </c>
      <c r="G39" s="76">
        <v>675</v>
      </c>
      <c r="H39" s="76">
        <v>798</v>
      </c>
      <c r="I39" s="76">
        <v>827</v>
      </c>
      <c r="J39" s="76">
        <v>852</v>
      </c>
      <c r="K39" s="9">
        <v>870</v>
      </c>
      <c r="L39" s="75" t="s">
        <v>57</v>
      </c>
      <c r="N39" s="22">
        <v>7996</v>
      </c>
    </row>
    <row r="40" spans="1:16" s="2" customFormat="1" ht="15.75" thickBot="1">
      <c r="A40" s="7" t="s">
        <v>113</v>
      </c>
      <c r="B40" s="8" t="s">
        <v>8</v>
      </c>
      <c r="C40" s="76">
        <v>570</v>
      </c>
      <c r="D40" s="76">
        <v>602</v>
      </c>
      <c r="E40" s="76">
        <v>609</v>
      </c>
      <c r="F40" s="76">
        <v>623</v>
      </c>
      <c r="G40" s="76">
        <v>626</v>
      </c>
      <c r="H40" s="76">
        <v>770</v>
      </c>
      <c r="I40" s="76">
        <v>849</v>
      </c>
      <c r="J40" s="76">
        <v>896</v>
      </c>
      <c r="K40" s="9">
        <v>912</v>
      </c>
      <c r="L40" s="9" t="s">
        <v>14</v>
      </c>
    </row>
    <row r="41" spans="1:16" s="2" customFormat="1" ht="15.75" thickBot="1">
      <c r="A41" s="7" t="s">
        <v>114</v>
      </c>
      <c r="B41" s="42" t="s">
        <v>18</v>
      </c>
      <c r="C41" s="80">
        <v>570</v>
      </c>
      <c r="D41" s="76">
        <v>613</v>
      </c>
      <c r="E41" s="76">
        <v>630</v>
      </c>
      <c r="F41" s="76">
        <v>719</v>
      </c>
      <c r="G41" s="76">
        <v>750</v>
      </c>
      <c r="H41" s="76">
        <v>796</v>
      </c>
      <c r="I41" s="9">
        <v>1089</v>
      </c>
      <c r="J41" s="76"/>
      <c r="K41" s="76"/>
      <c r="L41" s="9" t="s">
        <v>10</v>
      </c>
    </row>
    <row r="42" spans="1:16" s="2" customFormat="1" ht="15.75" thickBot="1">
      <c r="A42" s="17" t="s">
        <v>213</v>
      </c>
      <c r="B42" s="41" t="s">
        <v>18</v>
      </c>
      <c r="C42" s="76">
        <v>560</v>
      </c>
      <c r="D42" s="76">
        <v>601</v>
      </c>
      <c r="E42" s="76">
        <v>608</v>
      </c>
      <c r="F42" s="76">
        <v>635</v>
      </c>
      <c r="G42" s="76">
        <v>642</v>
      </c>
      <c r="H42" s="76">
        <v>653</v>
      </c>
      <c r="I42" s="76" t="s">
        <v>16</v>
      </c>
      <c r="J42" s="81"/>
      <c r="K42" s="82"/>
    </row>
    <row r="43" spans="1:16" s="2" customFormat="1" ht="15.75" thickBot="1">
      <c r="A43" s="17" t="s">
        <v>115</v>
      </c>
      <c r="B43" s="23" t="s">
        <v>8</v>
      </c>
      <c r="C43" s="76">
        <v>476</v>
      </c>
      <c r="D43" s="76">
        <v>483</v>
      </c>
      <c r="E43" s="76">
        <v>521</v>
      </c>
      <c r="F43" s="76">
        <v>539</v>
      </c>
      <c r="G43" s="76">
        <v>546</v>
      </c>
      <c r="H43" s="76" t="s">
        <v>16</v>
      </c>
      <c r="I43" s="81"/>
      <c r="J43" s="81"/>
      <c r="K43" s="82"/>
    </row>
    <row r="44" spans="1:16" s="2" customFormat="1" ht="15.75" thickBot="1">
      <c r="A44" s="17" t="s">
        <v>116</v>
      </c>
      <c r="B44" s="25" t="s">
        <v>3</v>
      </c>
      <c r="C44" s="76">
        <v>298</v>
      </c>
      <c r="D44" s="76">
        <v>374</v>
      </c>
      <c r="E44" s="76">
        <v>408</v>
      </c>
      <c r="F44" s="76" t="s">
        <v>16</v>
      </c>
      <c r="H44" s="82"/>
      <c r="I44" s="81"/>
      <c r="J44" s="81"/>
      <c r="K44" s="82"/>
    </row>
    <row r="45" spans="1:16" s="2" customFormat="1" ht="15.75" thickBot="1">
      <c r="A45" s="17" t="s">
        <v>117</v>
      </c>
      <c r="B45" s="41" t="s">
        <v>118</v>
      </c>
      <c r="C45" s="76">
        <v>57</v>
      </c>
      <c r="D45" s="76">
        <v>58</v>
      </c>
      <c r="E45" s="76">
        <v>67</v>
      </c>
      <c r="F45" s="76" t="s">
        <v>16</v>
      </c>
      <c r="G45" s="81"/>
      <c r="H45" s="82"/>
    </row>
    <row r="46" spans="1:16" s="2" customFormat="1" ht="14.25"/>
    <row r="47" spans="1:16" s="2" customFormat="1" ht="17.25" customHeight="1">
      <c r="A47" s="1" t="s">
        <v>119</v>
      </c>
    </row>
    <row r="48" spans="1:16" s="2" customFormat="1" ht="9.75" customHeight="1" thickBot="1">
      <c r="A48" s="1"/>
    </row>
    <row r="49" spans="1:15" s="2" customFormat="1" ht="15.75" thickBot="1">
      <c r="A49" s="3" t="s">
        <v>0</v>
      </c>
      <c r="B49" s="4" t="s">
        <v>1</v>
      </c>
      <c r="C49" s="4" t="s">
        <v>2</v>
      </c>
      <c r="D49" s="4">
        <v>2</v>
      </c>
      <c r="E49" s="4">
        <v>3</v>
      </c>
      <c r="F49" s="4">
        <v>4</v>
      </c>
      <c r="G49" s="4">
        <v>5</v>
      </c>
      <c r="H49" s="4">
        <v>6</v>
      </c>
      <c r="I49" s="4">
        <v>7</v>
      </c>
      <c r="J49" s="4"/>
      <c r="L49" s="6" t="s">
        <v>289</v>
      </c>
      <c r="M49" s="39">
        <f>(6271/10390)</f>
        <v>0.60356111645813282</v>
      </c>
    </row>
    <row r="50" spans="1:15" s="2" customFormat="1" ht="15.75" thickBot="1">
      <c r="A50" s="7" t="s">
        <v>120</v>
      </c>
      <c r="B50" s="20" t="s">
        <v>3</v>
      </c>
      <c r="C50" s="9">
        <v>1040</v>
      </c>
      <c r="D50" s="9"/>
      <c r="E50" s="9"/>
      <c r="F50" s="9"/>
      <c r="G50" s="9"/>
      <c r="H50" s="9"/>
      <c r="I50" s="9"/>
      <c r="J50" s="11" t="s">
        <v>4</v>
      </c>
      <c r="L50" s="5"/>
      <c r="M50" s="6" t="s">
        <v>5</v>
      </c>
      <c r="N50" s="6" t="s">
        <v>6</v>
      </c>
      <c r="O50" s="6" t="s">
        <v>7</v>
      </c>
    </row>
    <row r="51" spans="1:15" s="2" customFormat="1" ht="15.75" thickBot="1">
      <c r="A51" s="7" t="s">
        <v>121</v>
      </c>
      <c r="B51" s="8" t="s">
        <v>8</v>
      </c>
      <c r="C51" s="9">
        <v>887</v>
      </c>
      <c r="D51" s="76"/>
      <c r="E51" s="76"/>
      <c r="F51" s="9"/>
      <c r="G51" s="76"/>
      <c r="H51" s="76"/>
      <c r="I51" s="9"/>
      <c r="J51" s="11" t="s">
        <v>9</v>
      </c>
      <c r="L51" s="13" t="s">
        <v>8</v>
      </c>
      <c r="M51" s="14">
        <f>SUM(C51+C52+C57+C58)</f>
        <v>2566</v>
      </c>
      <c r="N51" s="15">
        <f>SUM(M51/M55)</f>
        <v>0.41825590872045637</v>
      </c>
      <c r="O51" s="5">
        <v>2</v>
      </c>
    </row>
    <row r="52" spans="1:15" s="2" customFormat="1" ht="15.75" thickBot="1">
      <c r="A52" s="7" t="s">
        <v>122</v>
      </c>
      <c r="B52" s="8" t="s">
        <v>8</v>
      </c>
      <c r="C52" s="76">
        <v>873</v>
      </c>
      <c r="D52" s="9">
        <v>896</v>
      </c>
      <c r="E52" s="76"/>
      <c r="F52" s="9"/>
      <c r="G52" s="76"/>
      <c r="H52" s="76"/>
      <c r="I52" s="9"/>
      <c r="J52" s="11" t="s">
        <v>12</v>
      </c>
      <c r="L52" s="16" t="s">
        <v>3</v>
      </c>
      <c r="M52" s="14">
        <f>SUM(C50+C53+C54+C56)</f>
        <v>2871</v>
      </c>
      <c r="N52" s="15">
        <f>SUM(M52/M55)</f>
        <v>0.46797066014669925</v>
      </c>
      <c r="O52" s="5">
        <v>3</v>
      </c>
    </row>
    <row r="53" spans="1:15" s="2" customFormat="1" ht="15.75" thickBot="1">
      <c r="A53" s="7" t="s">
        <v>123</v>
      </c>
      <c r="B53" s="20" t="s">
        <v>3</v>
      </c>
      <c r="C53" s="76">
        <v>795</v>
      </c>
      <c r="D53" s="76">
        <v>831</v>
      </c>
      <c r="E53" s="76">
        <v>838</v>
      </c>
      <c r="F53" s="76">
        <v>865</v>
      </c>
      <c r="G53" s="9">
        <v>986</v>
      </c>
      <c r="H53" s="76"/>
      <c r="I53" s="9"/>
      <c r="J53" s="11" t="s">
        <v>10</v>
      </c>
      <c r="L53" s="19" t="s">
        <v>11</v>
      </c>
      <c r="M53" s="14">
        <v>546</v>
      </c>
      <c r="N53" s="15">
        <f>SUM(M53/M55)</f>
        <v>8.8997555012224935E-2</v>
      </c>
      <c r="O53" s="5">
        <v>1</v>
      </c>
    </row>
    <row r="54" spans="1:15" s="2" customFormat="1" ht="15.75" thickBot="1">
      <c r="A54" s="7" t="s">
        <v>124</v>
      </c>
      <c r="B54" s="85" t="s">
        <v>3</v>
      </c>
      <c r="C54" s="76">
        <v>547</v>
      </c>
      <c r="D54" s="76">
        <v>583</v>
      </c>
      <c r="E54" s="76">
        <v>585</v>
      </c>
      <c r="F54" s="76">
        <v>619</v>
      </c>
      <c r="G54" s="76">
        <v>627</v>
      </c>
      <c r="H54" s="76">
        <v>651</v>
      </c>
      <c r="I54" s="9">
        <v>896</v>
      </c>
      <c r="J54" s="11" t="s">
        <v>15</v>
      </c>
      <c r="L54" s="26" t="s">
        <v>17</v>
      </c>
      <c r="M54" s="14">
        <v>152</v>
      </c>
      <c r="N54" s="15">
        <f>SUM(M54/M55)</f>
        <v>2.4775876120619395E-2</v>
      </c>
      <c r="O54" s="5"/>
    </row>
    <row r="55" spans="1:15" s="2" customFormat="1" ht="15.75" thickBot="1">
      <c r="A55" s="7" t="s">
        <v>125</v>
      </c>
      <c r="B55" s="37" t="s">
        <v>11</v>
      </c>
      <c r="C55" s="76">
        <v>546</v>
      </c>
      <c r="D55" s="76">
        <v>554</v>
      </c>
      <c r="E55" s="76">
        <v>555</v>
      </c>
      <c r="F55" s="76">
        <v>584</v>
      </c>
      <c r="G55" s="76">
        <v>683</v>
      </c>
      <c r="H55" s="76">
        <v>715</v>
      </c>
      <c r="I55" s="9">
        <v>835</v>
      </c>
      <c r="J55" s="11" t="s">
        <v>14</v>
      </c>
      <c r="M55" s="22">
        <v>6135</v>
      </c>
    </row>
    <row r="56" spans="1:15" s="2" customFormat="1" ht="15.75" thickBot="1">
      <c r="A56" s="17" t="s">
        <v>126</v>
      </c>
      <c r="B56" s="25" t="s">
        <v>3</v>
      </c>
      <c r="C56" s="76">
        <v>489</v>
      </c>
      <c r="D56" s="76">
        <v>505</v>
      </c>
      <c r="E56" s="76">
        <v>505</v>
      </c>
      <c r="F56" s="76">
        <v>516</v>
      </c>
      <c r="G56" s="76">
        <v>536</v>
      </c>
      <c r="H56" s="76">
        <v>557</v>
      </c>
      <c r="I56" s="76" t="s">
        <v>16</v>
      </c>
    </row>
    <row r="57" spans="1:15" s="2" customFormat="1" ht="15.75" thickBot="1">
      <c r="A57" s="17" t="s">
        <v>127</v>
      </c>
      <c r="B57" s="23" t="s">
        <v>8</v>
      </c>
      <c r="C57" s="76">
        <v>439</v>
      </c>
      <c r="D57" s="76">
        <v>473</v>
      </c>
      <c r="E57" s="76">
        <v>481</v>
      </c>
      <c r="F57" s="76">
        <v>501</v>
      </c>
      <c r="G57" s="76">
        <v>603</v>
      </c>
      <c r="H57" s="76">
        <v>618</v>
      </c>
      <c r="I57" s="76">
        <v>659</v>
      </c>
      <c r="J57" s="12"/>
      <c r="M57" s="22"/>
    </row>
    <row r="58" spans="1:15" s="2" customFormat="1" ht="15.75" thickBot="1">
      <c r="A58" s="17" t="s">
        <v>128</v>
      </c>
      <c r="B58" s="23" t="s">
        <v>8</v>
      </c>
      <c r="C58" s="76">
        <v>367</v>
      </c>
      <c r="D58" s="76">
        <v>371</v>
      </c>
      <c r="E58" s="76">
        <v>371</v>
      </c>
      <c r="F58" s="76">
        <v>376</v>
      </c>
      <c r="G58" s="76" t="s">
        <v>16</v>
      </c>
      <c r="J58" s="45"/>
    </row>
    <row r="59" spans="1:15" s="2" customFormat="1" ht="15.75" thickBot="1">
      <c r="A59" s="17" t="s">
        <v>129</v>
      </c>
      <c r="B59" s="41" t="s">
        <v>118</v>
      </c>
      <c r="C59" s="76">
        <v>152</v>
      </c>
      <c r="D59" s="76">
        <v>158</v>
      </c>
      <c r="E59" s="76">
        <v>159</v>
      </c>
      <c r="F59" s="76" t="s">
        <v>16</v>
      </c>
    </row>
    <row r="60" spans="1:15" s="2" customFormat="1" ht="15">
      <c r="A60" s="40"/>
    </row>
    <row r="61" spans="1:15">
      <c r="A61" s="27"/>
      <c r="B61" s="27" t="s">
        <v>19</v>
      </c>
      <c r="C61" s="28" t="s">
        <v>8</v>
      </c>
      <c r="D61" s="29" t="s">
        <v>3</v>
      </c>
      <c r="E61" s="30" t="s">
        <v>13</v>
      </c>
      <c r="F61" s="31" t="s">
        <v>11</v>
      </c>
      <c r="G61" s="46" t="s">
        <v>20</v>
      </c>
      <c r="H61" s="27" t="s">
        <v>17</v>
      </c>
    </row>
    <row r="62" spans="1:15" ht="14.25">
      <c r="A62" s="32" t="s">
        <v>5</v>
      </c>
      <c r="B62" s="33">
        <f>SUM(M55+N39+M25+L9)</f>
        <v>27369</v>
      </c>
      <c r="C62" s="34">
        <f>SUM(M51+N35+M19+L5)</f>
        <v>12476</v>
      </c>
      <c r="D62" s="34">
        <f>SUM(M52+N36+M20+L6)</f>
        <v>10166</v>
      </c>
      <c r="E62" s="34">
        <v>177</v>
      </c>
      <c r="F62" s="34">
        <f>SUM(M53+N37+M21+L7)</f>
        <v>2330</v>
      </c>
      <c r="G62" s="34">
        <v>138</v>
      </c>
      <c r="H62" s="34">
        <f>SUM(N38+M24+M54+L8)</f>
        <v>2082</v>
      </c>
      <c r="I62" s="34"/>
    </row>
    <row r="63" spans="1:15" ht="14.25">
      <c r="A63" s="32" t="s">
        <v>6</v>
      </c>
      <c r="B63" s="35">
        <v>1</v>
      </c>
      <c r="C63" s="36">
        <f t="shared" ref="C63:H63" si="0">SUM(C62/$B$62)</f>
        <v>0.45584420329569952</v>
      </c>
      <c r="D63" s="36">
        <f t="shared" si="0"/>
        <v>0.37144214257006103</v>
      </c>
      <c r="E63" s="36">
        <f t="shared" si="0"/>
        <v>6.4671708867697032E-3</v>
      </c>
      <c r="F63" s="36">
        <f t="shared" si="0"/>
        <v>8.5132814498154852E-2</v>
      </c>
      <c r="G63" s="36">
        <f t="shared" si="0"/>
        <v>5.0422010303628195E-3</v>
      </c>
      <c r="H63" s="36">
        <f t="shared" si="0"/>
        <v>7.6071467718952096E-2</v>
      </c>
    </row>
    <row r="64" spans="1:15" ht="14.25">
      <c r="A64" s="32" t="s">
        <v>7</v>
      </c>
      <c r="B64" s="27">
        <v>25</v>
      </c>
      <c r="C64">
        <v>13</v>
      </c>
      <c r="D64">
        <v>9</v>
      </c>
      <c r="E64">
        <v>0</v>
      </c>
      <c r="F64">
        <v>2</v>
      </c>
      <c r="G64">
        <v>0</v>
      </c>
      <c r="H64">
        <v>1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61"/>
  <sheetViews>
    <sheetView workbookViewId="0">
      <selection activeCell="N1" sqref="N1"/>
    </sheetView>
  </sheetViews>
  <sheetFormatPr defaultRowHeight="12.75"/>
  <cols>
    <col min="1" max="1" width="24.7109375" customWidth="1"/>
  </cols>
  <sheetData>
    <row r="1" spans="1:14" s="2" customFormat="1" ht="14.25">
      <c r="A1" s="1" t="s">
        <v>164</v>
      </c>
    </row>
    <row r="2" spans="1:14" s="2" customFormat="1" ht="9" customHeight="1" thickBot="1">
      <c r="A2" s="1"/>
    </row>
    <row r="3" spans="1:14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/>
      <c r="J3" s="6" t="s">
        <v>289</v>
      </c>
      <c r="K3" s="39">
        <f>(6381/9190)</f>
        <v>0.69434167573449401</v>
      </c>
    </row>
    <row r="4" spans="1:14" s="2" customFormat="1" ht="15.75" thickBot="1">
      <c r="A4" s="7" t="s">
        <v>165</v>
      </c>
      <c r="B4" s="20" t="s">
        <v>3</v>
      </c>
      <c r="C4" s="9">
        <v>1316</v>
      </c>
      <c r="D4" s="76"/>
      <c r="E4" s="76"/>
      <c r="F4" s="76"/>
      <c r="G4" s="76"/>
      <c r="H4" s="76"/>
      <c r="I4" s="75" t="s">
        <v>4</v>
      </c>
      <c r="J4" s="5"/>
      <c r="K4" s="6" t="s">
        <v>5</v>
      </c>
      <c r="L4" s="6" t="s">
        <v>6</v>
      </c>
      <c r="M4" s="6" t="s">
        <v>7</v>
      </c>
    </row>
    <row r="5" spans="1:14" s="2" customFormat="1" ht="15.75" thickBot="1">
      <c r="A5" s="7" t="s">
        <v>130</v>
      </c>
      <c r="B5" s="8" t="s">
        <v>8</v>
      </c>
      <c r="C5" s="9">
        <v>1059</v>
      </c>
      <c r="D5" s="76"/>
      <c r="E5" s="76"/>
      <c r="F5" s="76"/>
      <c r="G5" s="9"/>
      <c r="H5" s="9"/>
      <c r="I5" s="75" t="s">
        <v>9</v>
      </c>
      <c r="J5" s="13" t="s">
        <v>8</v>
      </c>
      <c r="K5" s="14">
        <f>SUM(C5+C7+C8+C9)</f>
        <v>3205</v>
      </c>
      <c r="L5" s="15">
        <f>SUM(K5/K8)</f>
        <v>0.51222630653667889</v>
      </c>
      <c r="M5" s="5">
        <v>3</v>
      </c>
    </row>
    <row r="6" spans="1:14" s="2" customFormat="1" ht="15.75" thickBot="1">
      <c r="A6" s="7" t="s">
        <v>166</v>
      </c>
      <c r="B6" s="20" t="s">
        <v>3</v>
      </c>
      <c r="C6" s="76">
        <v>999</v>
      </c>
      <c r="D6" s="9">
        <v>1195</v>
      </c>
      <c r="E6" s="76"/>
      <c r="F6" s="76"/>
      <c r="G6" s="76"/>
      <c r="H6" s="76"/>
      <c r="I6" s="75" t="s">
        <v>12</v>
      </c>
      <c r="J6" s="16" t="s">
        <v>3</v>
      </c>
      <c r="K6" s="14">
        <f>SUM(C4+C6)</f>
        <v>2315</v>
      </c>
      <c r="L6" s="15">
        <f>SUM(K6/K8)</f>
        <v>0.36998561610995684</v>
      </c>
      <c r="M6" s="5">
        <v>2</v>
      </c>
    </row>
    <row r="7" spans="1:14" s="2" customFormat="1" ht="15.75" thickBot="1">
      <c r="A7" s="7" t="s">
        <v>133</v>
      </c>
      <c r="B7" s="8" t="s">
        <v>8</v>
      </c>
      <c r="C7" s="76">
        <v>874</v>
      </c>
      <c r="D7" s="76">
        <v>891</v>
      </c>
      <c r="E7" s="76">
        <v>929</v>
      </c>
      <c r="F7" s="76">
        <v>941</v>
      </c>
      <c r="G7" s="76">
        <v>946</v>
      </c>
      <c r="H7" s="9">
        <v>1055</v>
      </c>
      <c r="I7" s="75" t="s">
        <v>10</v>
      </c>
      <c r="J7" s="19" t="s">
        <v>11</v>
      </c>
      <c r="K7" s="38">
        <v>737</v>
      </c>
      <c r="L7" s="39">
        <f>SUM(K7/K8)</f>
        <v>0.11778807735336423</v>
      </c>
    </row>
    <row r="8" spans="1:14" s="2" customFormat="1" ht="15.75" thickBot="1">
      <c r="A8" s="7" t="s">
        <v>131</v>
      </c>
      <c r="B8" s="8" t="s">
        <v>8</v>
      </c>
      <c r="C8" s="76">
        <v>729</v>
      </c>
      <c r="D8" s="76">
        <v>732</v>
      </c>
      <c r="E8" s="76">
        <v>744</v>
      </c>
      <c r="F8" s="76">
        <v>821</v>
      </c>
      <c r="G8" s="76">
        <v>828</v>
      </c>
      <c r="H8" s="9">
        <v>942</v>
      </c>
      <c r="I8" s="75" t="s">
        <v>15</v>
      </c>
      <c r="J8" s="26"/>
      <c r="K8" s="22">
        <v>6257</v>
      </c>
      <c r="L8" s="39"/>
    </row>
    <row r="9" spans="1:14" s="2" customFormat="1" ht="15.75" thickBot="1">
      <c r="A9" s="17" t="s">
        <v>167</v>
      </c>
      <c r="B9" s="23" t="s">
        <v>8</v>
      </c>
      <c r="C9" s="76">
        <v>543</v>
      </c>
      <c r="D9" s="76">
        <v>582</v>
      </c>
      <c r="E9" s="76">
        <v>613</v>
      </c>
      <c r="F9" s="76">
        <v>629</v>
      </c>
      <c r="G9" s="76">
        <v>631</v>
      </c>
      <c r="H9" s="76">
        <v>732</v>
      </c>
      <c r="I9" s="10"/>
    </row>
    <row r="10" spans="1:14" s="2" customFormat="1" ht="15.75" thickBot="1">
      <c r="A10" s="17" t="s">
        <v>168</v>
      </c>
      <c r="B10" s="18" t="s">
        <v>11</v>
      </c>
      <c r="C10" s="76">
        <v>424</v>
      </c>
      <c r="D10" s="76">
        <v>435</v>
      </c>
      <c r="E10" s="76">
        <v>450</v>
      </c>
      <c r="F10" s="76">
        <v>622</v>
      </c>
      <c r="G10" s="76">
        <v>624</v>
      </c>
      <c r="H10" s="76" t="s">
        <v>16</v>
      </c>
    </row>
    <row r="11" spans="1:14" s="2" customFormat="1" ht="15.75" thickBot="1">
      <c r="A11" s="17" t="s">
        <v>169</v>
      </c>
      <c r="B11" s="18" t="s">
        <v>11</v>
      </c>
      <c r="C11" s="76">
        <v>313</v>
      </c>
      <c r="D11" s="76">
        <v>320</v>
      </c>
      <c r="E11" s="76">
        <v>327</v>
      </c>
      <c r="F11" s="76" t="s">
        <v>16</v>
      </c>
      <c r="H11" s="38"/>
      <c r="I11" s="38"/>
    </row>
    <row r="12" spans="1:14" s="2" customFormat="1" ht="14.25"/>
    <row r="13" spans="1:14" s="2" customFormat="1" ht="14.25">
      <c r="A13" s="1" t="s">
        <v>170</v>
      </c>
    </row>
    <row r="14" spans="1:14" s="2" customFormat="1" ht="9.75" customHeight="1" thickBot="1">
      <c r="A14" s="1"/>
    </row>
    <row r="15" spans="1:14" s="2" customFormat="1" ht="15.75" thickBot="1">
      <c r="A15" s="3" t="s">
        <v>0</v>
      </c>
      <c r="B15" s="4" t="s">
        <v>1</v>
      </c>
      <c r="C15" s="4" t="s">
        <v>2</v>
      </c>
      <c r="D15" s="4">
        <v>2</v>
      </c>
      <c r="E15" s="4">
        <v>3</v>
      </c>
      <c r="F15" s="4">
        <v>4</v>
      </c>
      <c r="G15" s="4">
        <v>5</v>
      </c>
      <c r="H15" s="4">
        <v>6</v>
      </c>
      <c r="I15" s="4">
        <v>7</v>
      </c>
      <c r="J15" s="4"/>
      <c r="K15" s="6" t="s">
        <v>289</v>
      </c>
      <c r="L15" s="39">
        <f>(8772/14238)</f>
        <v>0.6160977665402444</v>
      </c>
    </row>
    <row r="16" spans="1:14" s="2" customFormat="1" ht="15.75" thickBot="1">
      <c r="A16" s="7" t="s">
        <v>147</v>
      </c>
      <c r="B16" s="20" t="s">
        <v>3</v>
      </c>
      <c r="C16" s="9">
        <v>1312</v>
      </c>
      <c r="D16" s="76"/>
      <c r="E16" s="9"/>
      <c r="F16" s="76"/>
      <c r="G16" s="76"/>
      <c r="H16" s="76"/>
      <c r="I16" s="76"/>
      <c r="J16" s="75" t="s">
        <v>4</v>
      </c>
      <c r="K16" s="5"/>
      <c r="L16" s="6" t="s">
        <v>5</v>
      </c>
      <c r="M16" s="6" t="s">
        <v>6</v>
      </c>
      <c r="N16" s="6" t="s">
        <v>7</v>
      </c>
    </row>
    <row r="17" spans="1:17" s="2" customFormat="1" ht="15.75" thickBot="1">
      <c r="A17" s="7" t="s">
        <v>171</v>
      </c>
      <c r="B17" s="37" t="s">
        <v>11</v>
      </c>
      <c r="C17" s="9">
        <v>1262</v>
      </c>
      <c r="D17" s="76"/>
      <c r="E17" s="9"/>
      <c r="F17" s="9"/>
      <c r="G17" s="9"/>
      <c r="H17" s="9"/>
      <c r="I17" s="9"/>
      <c r="J17" s="75" t="s">
        <v>9</v>
      </c>
      <c r="K17" s="13" t="s">
        <v>8</v>
      </c>
      <c r="L17" s="14">
        <f>SUM(C19+C20+C23+C24+C25)</f>
        <v>3449</v>
      </c>
      <c r="M17" s="15">
        <f>SUM(L17/L20)</f>
        <v>0.4009998837344495</v>
      </c>
      <c r="N17" s="5">
        <v>3</v>
      </c>
    </row>
    <row r="18" spans="1:17" s="2" customFormat="1" ht="15.75" thickBot="1">
      <c r="A18" s="7" t="s">
        <v>172</v>
      </c>
      <c r="B18" s="20" t="s">
        <v>3</v>
      </c>
      <c r="C18" s="9">
        <v>1211</v>
      </c>
      <c r="D18" s="76"/>
      <c r="E18" s="76"/>
      <c r="F18" s="76"/>
      <c r="G18" s="9"/>
      <c r="H18" s="9"/>
      <c r="I18" s="9"/>
      <c r="J18" s="75" t="s">
        <v>12</v>
      </c>
      <c r="K18" s="16" t="s">
        <v>3</v>
      </c>
      <c r="L18" s="14">
        <f>SUM(C16+C18+C21+C22)</f>
        <v>3890</v>
      </c>
      <c r="M18" s="15">
        <f>SUM(L18/L20)</f>
        <v>0.4522729915126148</v>
      </c>
      <c r="N18" s="5">
        <v>3</v>
      </c>
    </row>
    <row r="19" spans="1:17" s="2" customFormat="1" ht="15.75" thickBot="1">
      <c r="A19" s="7" t="s">
        <v>145</v>
      </c>
      <c r="B19" s="8" t="s">
        <v>8</v>
      </c>
      <c r="C19" s="76">
        <v>890</v>
      </c>
      <c r="D19" s="76">
        <v>930</v>
      </c>
      <c r="E19" s="76">
        <v>992</v>
      </c>
      <c r="F19" s="76">
        <v>1006</v>
      </c>
      <c r="G19" s="9">
        <v>1163</v>
      </c>
      <c r="H19" s="76"/>
      <c r="I19" s="76"/>
      <c r="J19" s="75" t="s">
        <v>10</v>
      </c>
      <c r="K19" s="19" t="s">
        <v>11</v>
      </c>
      <c r="L19" s="14">
        <v>1262</v>
      </c>
      <c r="M19" s="15">
        <f>SUM(L19/L20)</f>
        <v>0.1467271247529357</v>
      </c>
      <c r="N19" s="5">
        <v>1</v>
      </c>
    </row>
    <row r="20" spans="1:17" s="2" customFormat="1" ht="15.75" thickBot="1">
      <c r="A20" s="7" t="s">
        <v>144</v>
      </c>
      <c r="B20" s="8" t="s">
        <v>8</v>
      </c>
      <c r="C20" s="76">
        <v>731</v>
      </c>
      <c r="D20" s="76">
        <v>738</v>
      </c>
      <c r="E20" s="76">
        <v>763</v>
      </c>
      <c r="F20" s="76">
        <v>770</v>
      </c>
      <c r="G20" s="76">
        <v>853</v>
      </c>
      <c r="H20" s="76">
        <v>870</v>
      </c>
      <c r="I20" s="9">
        <v>1141</v>
      </c>
      <c r="J20" s="75" t="s">
        <v>15</v>
      </c>
      <c r="K20" s="26"/>
      <c r="L20" s="22">
        <v>8601</v>
      </c>
      <c r="M20" s="15"/>
      <c r="N20" s="5"/>
    </row>
    <row r="21" spans="1:17" s="2" customFormat="1" ht="15.75" thickBot="1">
      <c r="A21" s="17" t="s">
        <v>173</v>
      </c>
      <c r="B21" s="25" t="s">
        <v>3</v>
      </c>
      <c r="C21" s="76">
        <v>694</v>
      </c>
      <c r="D21" s="76">
        <v>750</v>
      </c>
      <c r="E21" s="76">
        <v>774</v>
      </c>
      <c r="F21" s="76">
        <v>806</v>
      </c>
      <c r="G21" s="76">
        <v>841</v>
      </c>
      <c r="H21" s="76">
        <v>847</v>
      </c>
      <c r="I21" s="76">
        <v>877</v>
      </c>
      <c r="J21" s="75"/>
      <c r="K21" s="26"/>
      <c r="L21" s="14"/>
      <c r="M21" s="15"/>
      <c r="N21" s="5"/>
    </row>
    <row r="22" spans="1:17" s="2" customFormat="1" ht="15.75" thickBot="1">
      <c r="A22" s="7" t="s">
        <v>174</v>
      </c>
      <c r="B22" s="20" t="s">
        <v>3</v>
      </c>
      <c r="C22" s="76">
        <v>673</v>
      </c>
      <c r="D22" s="76">
        <v>751</v>
      </c>
      <c r="E22" s="76">
        <v>769</v>
      </c>
      <c r="F22" s="76">
        <v>812</v>
      </c>
      <c r="G22" s="76">
        <v>836</v>
      </c>
      <c r="H22" s="76">
        <v>844</v>
      </c>
      <c r="I22" s="9">
        <v>1024</v>
      </c>
      <c r="J22" s="75" t="s">
        <v>57</v>
      </c>
      <c r="L22" s="22"/>
    </row>
    <row r="23" spans="1:17" s="2" customFormat="1" ht="15.75" thickBot="1">
      <c r="A23" s="17" t="s">
        <v>175</v>
      </c>
      <c r="B23" s="23" t="s">
        <v>8</v>
      </c>
      <c r="C23" s="76">
        <v>650</v>
      </c>
      <c r="D23" s="76">
        <v>656</v>
      </c>
      <c r="E23" s="76">
        <v>675</v>
      </c>
      <c r="F23" s="76">
        <v>678</v>
      </c>
      <c r="G23" s="76">
        <v>769</v>
      </c>
      <c r="H23" s="76">
        <v>784</v>
      </c>
      <c r="I23" s="76" t="s">
        <v>16</v>
      </c>
    </row>
    <row r="24" spans="1:17" s="2" customFormat="1" ht="15.75" thickBot="1">
      <c r="A24" s="7" t="s">
        <v>176</v>
      </c>
      <c r="B24" s="8" t="s">
        <v>8</v>
      </c>
      <c r="C24" s="76">
        <v>634</v>
      </c>
      <c r="D24" s="76">
        <v>657</v>
      </c>
      <c r="E24" s="76">
        <v>677</v>
      </c>
      <c r="F24" s="76">
        <v>696</v>
      </c>
      <c r="G24" s="76">
        <v>849</v>
      </c>
      <c r="H24" s="76">
        <v>890</v>
      </c>
      <c r="I24" s="9">
        <v>1075</v>
      </c>
      <c r="J24" s="75" t="s">
        <v>14</v>
      </c>
    </row>
    <row r="25" spans="1:17" s="2" customFormat="1" ht="15.75" thickBot="1">
      <c r="A25" s="17" t="s">
        <v>177</v>
      </c>
      <c r="B25" s="23" t="s">
        <v>8</v>
      </c>
      <c r="C25" s="76">
        <v>544</v>
      </c>
      <c r="D25" s="76">
        <v>570</v>
      </c>
      <c r="E25" s="76">
        <v>588</v>
      </c>
      <c r="F25" s="76">
        <v>605</v>
      </c>
      <c r="G25" s="76" t="s">
        <v>16</v>
      </c>
      <c r="J25" s="38"/>
    </row>
    <row r="26" spans="1:17" s="2" customFormat="1" ht="14.25"/>
    <row r="27" spans="1:17" s="2" customFormat="1" ht="14.25">
      <c r="A27" s="1" t="s">
        <v>150</v>
      </c>
    </row>
    <row r="28" spans="1:17" s="2" customFormat="1" ht="9" customHeight="1" thickBot="1">
      <c r="A28" s="1"/>
    </row>
    <row r="29" spans="1:17" s="2" customFormat="1" ht="15.75" thickBot="1">
      <c r="A29" s="3" t="s">
        <v>0</v>
      </c>
      <c r="B29" s="4" t="s">
        <v>1</v>
      </c>
      <c r="C29" s="4" t="s">
        <v>2</v>
      </c>
      <c r="D29" s="4">
        <v>2</v>
      </c>
      <c r="E29" s="4">
        <v>3</v>
      </c>
      <c r="F29" s="4">
        <v>4</v>
      </c>
      <c r="G29" s="4">
        <v>5</v>
      </c>
      <c r="H29" s="4">
        <v>6</v>
      </c>
      <c r="I29" s="4">
        <v>7</v>
      </c>
      <c r="J29" s="4">
        <v>8</v>
      </c>
      <c r="K29" s="4">
        <v>9</v>
      </c>
      <c r="L29" s="4">
        <v>10</v>
      </c>
      <c r="M29" s="4"/>
      <c r="N29" s="6" t="s">
        <v>289</v>
      </c>
      <c r="O29" s="39">
        <f>(8999/13247)</f>
        <v>0.67932362044236427</v>
      </c>
    </row>
    <row r="30" spans="1:17" s="2" customFormat="1" ht="15.75" thickBot="1">
      <c r="A30" s="7" t="s">
        <v>108</v>
      </c>
      <c r="B30" s="20" t="s">
        <v>3</v>
      </c>
      <c r="C30" s="9">
        <v>1291</v>
      </c>
      <c r="D30" s="9"/>
      <c r="E30" s="76"/>
      <c r="F30" s="76"/>
      <c r="G30" s="9"/>
      <c r="H30" s="76"/>
      <c r="I30" s="76"/>
      <c r="J30" s="9"/>
      <c r="K30" s="76"/>
      <c r="L30" s="76"/>
      <c r="M30" s="75" t="s">
        <v>4</v>
      </c>
      <c r="N30" s="5"/>
      <c r="O30" s="6" t="s">
        <v>5</v>
      </c>
      <c r="P30" s="6" t="s">
        <v>6</v>
      </c>
      <c r="Q30" s="6" t="s">
        <v>7</v>
      </c>
    </row>
    <row r="31" spans="1:17" s="2" customFormat="1" ht="15.75" thickBot="1">
      <c r="A31" s="7" t="s">
        <v>149</v>
      </c>
      <c r="B31" s="20" t="s">
        <v>3</v>
      </c>
      <c r="C31" s="76">
        <v>997</v>
      </c>
      <c r="D31" s="76">
        <v>1009</v>
      </c>
      <c r="E31" s="76">
        <v>1012</v>
      </c>
      <c r="F31" s="9">
        <v>1153</v>
      </c>
      <c r="G31" s="9"/>
      <c r="H31" s="76"/>
      <c r="I31" s="76"/>
      <c r="J31" s="9"/>
      <c r="K31" s="76"/>
      <c r="L31" s="76"/>
      <c r="M31" s="75" t="s">
        <v>9</v>
      </c>
      <c r="N31" s="13" t="s">
        <v>8</v>
      </c>
      <c r="O31" s="14">
        <f>SUM(C32+C35+C36+C37+C41)</f>
        <v>3311</v>
      </c>
      <c r="P31" s="15">
        <f>SUM(O31/O35)</f>
        <v>0.39738358137301966</v>
      </c>
      <c r="Q31" s="5">
        <v>3</v>
      </c>
    </row>
    <row r="32" spans="1:17" s="2" customFormat="1" ht="15.75" thickBot="1">
      <c r="A32" s="7" t="s">
        <v>109</v>
      </c>
      <c r="B32" s="8" t="s">
        <v>8</v>
      </c>
      <c r="C32" s="76">
        <v>925</v>
      </c>
      <c r="D32" s="76">
        <v>929</v>
      </c>
      <c r="E32" s="76">
        <v>978</v>
      </c>
      <c r="F32" s="76">
        <v>983</v>
      </c>
      <c r="G32" s="76">
        <v>983</v>
      </c>
      <c r="H32" s="9">
        <v>1141</v>
      </c>
      <c r="I32" s="76"/>
      <c r="J32" s="76"/>
      <c r="K32" s="76"/>
      <c r="L32" s="76"/>
      <c r="M32" s="75" t="s">
        <v>10</v>
      </c>
      <c r="N32" s="16" t="s">
        <v>3</v>
      </c>
      <c r="O32" s="14">
        <f>SUM(C30+C31+C33+C39+C40)</f>
        <v>4101</v>
      </c>
      <c r="P32" s="15">
        <f>SUM(O32/O35)</f>
        <v>0.49219875180028805</v>
      </c>
      <c r="Q32" s="5">
        <v>3</v>
      </c>
    </row>
    <row r="33" spans="1:17" s="2" customFormat="1" ht="15.75" thickBot="1">
      <c r="A33" s="7" t="s">
        <v>213</v>
      </c>
      <c r="B33" s="20" t="s">
        <v>3</v>
      </c>
      <c r="C33" s="76">
        <v>904</v>
      </c>
      <c r="D33" s="76">
        <v>938</v>
      </c>
      <c r="E33" s="76">
        <v>958</v>
      </c>
      <c r="F33" s="76">
        <v>1046</v>
      </c>
      <c r="G33" s="76">
        <v>1061</v>
      </c>
      <c r="H33" s="9">
        <v>1228</v>
      </c>
      <c r="I33" s="9"/>
      <c r="J33" s="9"/>
      <c r="K33" s="9"/>
      <c r="L33" s="9"/>
      <c r="M33" s="75" t="s">
        <v>12</v>
      </c>
      <c r="N33" s="19" t="s">
        <v>11</v>
      </c>
      <c r="O33" s="14">
        <v>901</v>
      </c>
      <c r="P33" s="15">
        <f>SUM(O33/O35)</f>
        <v>0.10813730196831493</v>
      </c>
      <c r="Q33" s="5">
        <v>1</v>
      </c>
    </row>
    <row r="34" spans="1:17" s="2" customFormat="1" ht="15.75" thickBot="1">
      <c r="A34" s="7" t="s">
        <v>111</v>
      </c>
      <c r="B34" s="37" t="s">
        <v>11</v>
      </c>
      <c r="C34" s="76">
        <v>901</v>
      </c>
      <c r="D34" s="76">
        <v>931</v>
      </c>
      <c r="E34" s="76">
        <v>985</v>
      </c>
      <c r="F34" s="76">
        <v>1003</v>
      </c>
      <c r="G34" s="76">
        <v>1007</v>
      </c>
      <c r="H34" s="76">
        <v>1070</v>
      </c>
      <c r="I34" s="76">
        <v>1081</v>
      </c>
      <c r="J34" s="76">
        <v>1089</v>
      </c>
      <c r="K34" s="9">
        <v>1227</v>
      </c>
      <c r="L34" s="76"/>
      <c r="M34" s="11" t="s">
        <v>15</v>
      </c>
      <c r="N34" s="6" t="s">
        <v>17</v>
      </c>
      <c r="O34" s="38">
        <v>519</v>
      </c>
      <c r="P34" s="39">
        <f>SUM(O34/O35)</f>
        <v>6.2289966394623142E-2</v>
      </c>
    </row>
    <row r="35" spans="1:17" s="2" customFormat="1" ht="15.75" thickBot="1">
      <c r="A35" s="7" t="s">
        <v>112</v>
      </c>
      <c r="B35" s="8" t="s">
        <v>8</v>
      </c>
      <c r="C35" s="76">
        <v>840</v>
      </c>
      <c r="D35" s="76">
        <v>847</v>
      </c>
      <c r="E35" s="76">
        <v>878</v>
      </c>
      <c r="F35" s="76">
        <v>882</v>
      </c>
      <c r="G35" s="76">
        <v>883</v>
      </c>
      <c r="H35" s="76">
        <v>924</v>
      </c>
      <c r="I35" s="76">
        <v>935</v>
      </c>
      <c r="J35" s="76">
        <v>942</v>
      </c>
      <c r="K35" s="76">
        <v>1015</v>
      </c>
      <c r="L35" s="9">
        <v>1040</v>
      </c>
      <c r="M35" s="75" t="s">
        <v>14</v>
      </c>
      <c r="O35" s="22">
        <v>8332</v>
      </c>
    </row>
    <row r="36" spans="1:17" s="2" customFormat="1" ht="15.75" thickBot="1">
      <c r="A36" s="7" t="s">
        <v>152</v>
      </c>
      <c r="B36" s="8" t="s">
        <v>8</v>
      </c>
      <c r="C36" s="76">
        <v>653</v>
      </c>
      <c r="D36" s="76">
        <v>655</v>
      </c>
      <c r="E36" s="76">
        <v>671</v>
      </c>
      <c r="F36" s="76">
        <v>710</v>
      </c>
      <c r="G36" s="76">
        <v>721</v>
      </c>
      <c r="H36" s="76">
        <v>735</v>
      </c>
      <c r="I36" s="76">
        <v>745</v>
      </c>
      <c r="J36" s="76">
        <v>749</v>
      </c>
      <c r="K36" s="76">
        <v>861</v>
      </c>
      <c r="L36" s="9">
        <v>877</v>
      </c>
      <c r="M36" s="9" t="s">
        <v>57</v>
      </c>
    </row>
    <row r="37" spans="1:17" s="2" customFormat="1" ht="15.75" thickBot="1">
      <c r="A37" s="17" t="s">
        <v>151</v>
      </c>
      <c r="B37" s="23" t="s">
        <v>8</v>
      </c>
      <c r="C37" s="80">
        <v>586</v>
      </c>
      <c r="D37" s="76">
        <v>600</v>
      </c>
      <c r="E37" s="76">
        <v>688</v>
      </c>
      <c r="F37" s="76">
        <v>730</v>
      </c>
      <c r="G37" s="76">
        <v>733</v>
      </c>
      <c r="H37" s="76">
        <v>745</v>
      </c>
      <c r="I37" s="76">
        <v>754</v>
      </c>
      <c r="J37" s="76">
        <v>760</v>
      </c>
      <c r="K37" s="76">
        <v>851</v>
      </c>
      <c r="L37" s="76">
        <v>867</v>
      </c>
      <c r="M37" s="9"/>
    </row>
    <row r="38" spans="1:17" s="2" customFormat="1" ht="15.75" thickBot="1">
      <c r="A38" s="17" t="s">
        <v>114</v>
      </c>
      <c r="B38" s="41" t="s">
        <v>18</v>
      </c>
      <c r="C38" s="76">
        <v>519</v>
      </c>
      <c r="D38" s="76">
        <v>544</v>
      </c>
      <c r="E38" s="76">
        <v>571</v>
      </c>
      <c r="F38" s="76">
        <v>606</v>
      </c>
      <c r="G38" s="76">
        <v>608</v>
      </c>
      <c r="H38" s="76">
        <v>670</v>
      </c>
      <c r="I38" s="76">
        <v>717</v>
      </c>
      <c r="J38" s="76">
        <v>728</v>
      </c>
      <c r="K38" s="76" t="s">
        <v>16</v>
      </c>
    </row>
    <row r="39" spans="1:17" s="2" customFormat="1" ht="15.75" thickBot="1">
      <c r="A39" s="17" t="s">
        <v>155</v>
      </c>
      <c r="B39" s="25" t="s">
        <v>3</v>
      </c>
      <c r="C39" s="76">
        <v>518</v>
      </c>
      <c r="D39" s="76">
        <v>538</v>
      </c>
      <c r="E39" s="76">
        <v>545</v>
      </c>
      <c r="F39" s="76">
        <v>584</v>
      </c>
      <c r="G39" s="76">
        <v>596</v>
      </c>
      <c r="H39" s="76" t="s">
        <v>16</v>
      </c>
      <c r="J39" s="81"/>
      <c r="K39" s="82"/>
    </row>
    <row r="40" spans="1:17" s="2" customFormat="1" ht="15.75" thickBot="1">
      <c r="A40" s="17" t="s">
        <v>154</v>
      </c>
      <c r="B40" s="25" t="s">
        <v>3</v>
      </c>
      <c r="C40" s="76">
        <v>391</v>
      </c>
      <c r="D40" s="76">
        <v>420</v>
      </c>
      <c r="E40" s="76">
        <v>426</v>
      </c>
      <c r="F40" s="76" t="s">
        <v>16</v>
      </c>
      <c r="H40" s="82"/>
      <c r="I40" s="81"/>
      <c r="J40" s="81"/>
      <c r="K40" s="82"/>
    </row>
    <row r="41" spans="1:17" s="2" customFormat="1" ht="15.75" thickBot="1">
      <c r="A41" s="17" t="s">
        <v>153</v>
      </c>
      <c r="B41" s="23" t="s">
        <v>8</v>
      </c>
      <c r="C41" s="76">
        <v>307</v>
      </c>
      <c r="D41" s="76">
        <v>316</v>
      </c>
      <c r="E41" s="76" t="s">
        <v>16</v>
      </c>
      <c r="G41" s="81"/>
      <c r="H41" s="82"/>
    </row>
    <row r="42" spans="1:17" s="2" customFormat="1" ht="14.25"/>
    <row r="43" spans="1:17" s="2" customFormat="1" ht="14.25">
      <c r="A43" s="1" t="s">
        <v>156</v>
      </c>
    </row>
    <row r="44" spans="1:17" s="2" customFormat="1" ht="9.75" customHeight="1" thickBot="1">
      <c r="A44" s="1"/>
    </row>
    <row r="45" spans="1:17" s="2" customFormat="1" ht="15.75" thickBot="1">
      <c r="A45" s="3" t="s">
        <v>0</v>
      </c>
      <c r="B45" s="4" t="s">
        <v>1</v>
      </c>
      <c r="C45" s="4" t="s">
        <v>2</v>
      </c>
      <c r="D45" s="4">
        <v>2</v>
      </c>
      <c r="E45" s="4">
        <v>3</v>
      </c>
      <c r="F45" s="4">
        <v>4</v>
      </c>
      <c r="G45" s="4">
        <v>5</v>
      </c>
      <c r="H45" s="4">
        <v>6</v>
      </c>
      <c r="I45" s="4">
        <v>7</v>
      </c>
      <c r="J45" s="4"/>
      <c r="K45" s="6" t="s">
        <v>289</v>
      </c>
      <c r="L45" s="39">
        <f>(8015/12029)</f>
        <v>0.66630642613683599</v>
      </c>
    </row>
    <row r="46" spans="1:17" s="2" customFormat="1" ht="15.75" thickBot="1">
      <c r="A46" s="7" t="s">
        <v>120</v>
      </c>
      <c r="B46" s="20" t="s">
        <v>3</v>
      </c>
      <c r="C46" s="76">
        <v>1109</v>
      </c>
      <c r="D46" s="9">
        <v>1213</v>
      </c>
      <c r="E46" s="9"/>
      <c r="F46" s="9"/>
      <c r="G46" s="9"/>
      <c r="H46" s="9"/>
      <c r="I46" s="9"/>
      <c r="J46" s="11" t="s">
        <v>4</v>
      </c>
      <c r="K46" s="5"/>
      <c r="L46" s="6" t="s">
        <v>5</v>
      </c>
      <c r="M46" s="6" t="s">
        <v>6</v>
      </c>
      <c r="N46" s="6" t="s">
        <v>7</v>
      </c>
    </row>
    <row r="47" spans="1:17" s="2" customFormat="1" ht="15.75" thickBot="1">
      <c r="A47" s="7" t="s">
        <v>157</v>
      </c>
      <c r="B47" s="20" t="s">
        <v>3</v>
      </c>
      <c r="C47" s="76">
        <v>952</v>
      </c>
      <c r="D47" s="76">
        <v>993</v>
      </c>
      <c r="E47" s="76">
        <v>1046</v>
      </c>
      <c r="F47" s="76">
        <v>1065</v>
      </c>
      <c r="G47" s="9">
        <v>1395</v>
      </c>
      <c r="H47" s="76"/>
      <c r="I47" s="9"/>
      <c r="J47" s="11" t="s">
        <v>9</v>
      </c>
      <c r="K47" s="13" t="s">
        <v>8</v>
      </c>
      <c r="L47" s="14">
        <f>SUM(C48+C49+C52+C54)</f>
        <v>3036</v>
      </c>
      <c r="M47" s="15">
        <f>SUM(L47/L52)</f>
        <v>0.38440111420612816</v>
      </c>
      <c r="N47" s="5">
        <v>2</v>
      </c>
    </row>
    <row r="48" spans="1:17" s="2" customFormat="1" ht="15.75" thickBot="1">
      <c r="A48" s="7" t="s">
        <v>158</v>
      </c>
      <c r="B48" s="8" t="s">
        <v>8</v>
      </c>
      <c r="C48" s="76">
        <v>880</v>
      </c>
      <c r="D48" s="76">
        <v>924</v>
      </c>
      <c r="E48" s="76">
        <v>995</v>
      </c>
      <c r="F48" s="76">
        <v>1025</v>
      </c>
      <c r="G48" s="76">
        <v>1042</v>
      </c>
      <c r="H48" s="76">
        <v>1056</v>
      </c>
      <c r="I48" s="9">
        <v>1067</v>
      </c>
      <c r="J48" s="11" t="s">
        <v>14</v>
      </c>
      <c r="K48" s="16" t="s">
        <v>3</v>
      </c>
      <c r="L48" s="14">
        <f>SUM(C46+C47+C50+C53)</f>
        <v>3583</v>
      </c>
      <c r="M48" s="15">
        <f>SUM(L48/L52)</f>
        <v>0.4536591542162573</v>
      </c>
      <c r="N48" s="5">
        <v>3</v>
      </c>
    </row>
    <row r="49" spans="1:15" s="2" customFormat="1" ht="15.75" thickBot="1">
      <c r="A49" s="17" t="s">
        <v>122</v>
      </c>
      <c r="B49" s="23" t="s">
        <v>8</v>
      </c>
      <c r="C49" s="76">
        <v>845</v>
      </c>
      <c r="D49" s="76">
        <v>865</v>
      </c>
      <c r="E49" s="76">
        <v>912</v>
      </c>
      <c r="F49" s="76">
        <v>919</v>
      </c>
      <c r="G49" s="76">
        <v>954</v>
      </c>
      <c r="H49" s="76">
        <v>992</v>
      </c>
      <c r="I49" s="76">
        <v>1001</v>
      </c>
      <c r="J49" s="11"/>
      <c r="K49" s="19" t="s">
        <v>11</v>
      </c>
      <c r="L49" s="14">
        <v>771</v>
      </c>
      <c r="M49" s="15">
        <f>SUM(L49/L52)</f>
        <v>9.7619650544441633E-2</v>
      </c>
      <c r="N49" s="5">
        <v>1</v>
      </c>
    </row>
    <row r="50" spans="1:15" s="2" customFormat="1" ht="15.75" thickBot="1">
      <c r="A50" s="7" t="s">
        <v>159</v>
      </c>
      <c r="B50" s="20" t="s">
        <v>3</v>
      </c>
      <c r="C50" s="76">
        <v>826</v>
      </c>
      <c r="D50" s="76">
        <v>924</v>
      </c>
      <c r="E50" s="76">
        <v>969</v>
      </c>
      <c r="F50" s="76">
        <v>983</v>
      </c>
      <c r="G50" s="9">
        <v>1206</v>
      </c>
      <c r="H50" s="76"/>
      <c r="I50" s="9"/>
      <c r="J50" s="11" t="s">
        <v>12</v>
      </c>
      <c r="K50" s="21" t="s">
        <v>13</v>
      </c>
      <c r="L50" s="14">
        <v>240</v>
      </c>
      <c r="M50" s="15">
        <f>SUM(L50/L52)</f>
        <v>3.0387439858191947E-2</v>
      </c>
      <c r="N50" s="5"/>
    </row>
    <row r="51" spans="1:15" s="2" customFormat="1" ht="15.75" customHeight="1" thickBot="1">
      <c r="A51" s="7" t="s">
        <v>160</v>
      </c>
      <c r="B51" s="37" t="s">
        <v>11</v>
      </c>
      <c r="C51" s="76">
        <v>771</v>
      </c>
      <c r="D51" s="76">
        <v>830</v>
      </c>
      <c r="E51" s="76">
        <v>891</v>
      </c>
      <c r="F51" s="76">
        <v>896</v>
      </c>
      <c r="G51" s="76">
        <v>1002</v>
      </c>
      <c r="H51" s="76">
        <v>1063</v>
      </c>
      <c r="I51" s="9">
        <v>1097</v>
      </c>
      <c r="J51" s="11" t="s">
        <v>10</v>
      </c>
      <c r="K51" s="26" t="s">
        <v>17</v>
      </c>
      <c r="L51" s="14">
        <v>268</v>
      </c>
      <c r="M51" s="15">
        <f>SUM(L51/L52)</f>
        <v>3.3932641174981008E-2</v>
      </c>
      <c r="N51" s="5"/>
    </row>
    <row r="52" spans="1:15" s="2" customFormat="1" ht="15.75" thickBot="1">
      <c r="A52" s="7" t="s">
        <v>121</v>
      </c>
      <c r="B52" s="8" t="s">
        <v>8</v>
      </c>
      <c r="C52" s="76">
        <v>750</v>
      </c>
      <c r="D52" s="76">
        <v>788</v>
      </c>
      <c r="E52" s="76">
        <v>957</v>
      </c>
      <c r="F52" s="76">
        <v>957</v>
      </c>
      <c r="G52" s="76">
        <v>1020</v>
      </c>
      <c r="H52" s="76">
        <v>1048</v>
      </c>
      <c r="I52" s="9">
        <v>1071</v>
      </c>
      <c r="J52" s="11" t="s">
        <v>15</v>
      </c>
      <c r="L52" s="22">
        <v>7898</v>
      </c>
    </row>
    <row r="53" spans="1:15" s="2" customFormat="1" ht="15.75" thickBot="1">
      <c r="A53" s="17" t="s">
        <v>123</v>
      </c>
      <c r="B53" s="25" t="s">
        <v>3</v>
      </c>
      <c r="C53" s="76">
        <v>696</v>
      </c>
      <c r="D53" s="76">
        <v>723</v>
      </c>
      <c r="E53" s="76">
        <v>814</v>
      </c>
      <c r="F53" s="76">
        <v>819</v>
      </c>
      <c r="G53" s="76" t="s">
        <v>16</v>
      </c>
    </row>
    <row r="54" spans="1:15" s="2" customFormat="1" ht="15.75" thickBot="1">
      <c r="A54" s="17" t="s">
        <v>161</v>
      </c>
      <c r="B54" s="23" t="s">
        <v>8</v>
      </c>
      <c r="C54" s="76">
        <v>561</v>
      </c>
      <c r="D54" s="76">
        <v>594</v>
      </c>
      <c r="E54" s="76" t="s">
        <v>16</v>
      </c>
      <c r="J54" s="45"/>
      <c r="M54" s="22"/>
    </row>
    <row r="55" spans="1:15" s="2" customFormat="1" ht="15.75" thickBot="1">
      <c r="A55" s="17" t="s">
        <v>162</v>
      </c>
      <c r="B55" s="41" t="s">
        <v>18</v>
      </c>
      <c r="C55" s="76">
        <v>268</v>
      </c>
      <c r="D55" s="76" t="s">
        <v>16</v>
      </c>
    </row>
    <row r="56" spans="1:15" s="2" customFormat="1" ht="15.75" thickBot="1">
      <c r="A56" s="17" t="s">
        <v>163</v>
      </c>
      <c r="B56" s="24" t="s">
        <v>13</v>
      </c>
      <c r="C56" s="76">
        <v>240</v>
      </c>
      <c r="D56" s="76" t="s">
        <v>16</v>
      </c>
    </row>
    <row r="57" spans="1:15" s="2" customFormat="1" ht="15">
      <c r="A57" s="40"/>
    </row>
    <row r="58" spans="1:15" ht="14.25">
      <c r="A58" s="27"/>
      <c r="B58" s="27" t="s">
        <v>19</v>
      </c>
      <c r="C58" s="28" t="s">
        <v>8</v>
      </c>
      <c r="D58" s="29" t="s">
        <v>3</v>
      </c>
      <c r="E58" s="30" t="s">
        <v>13</v>
      </c>
      <c r="F58" s="31" t="s">
        <v>11</v>
      </c>
      <c r="G58" s="27" t="s">
        <v>17</v>
      </c>
      <c r="L58" s="2"/>
      <c r="M58" s="2"/>
      <c r="N58" s="2"/>
      <c r="O58" s="2"/>
    </row>
    <row r="59" spans="1:15" ht="14.25">
      <c r="A59" s="32" t="s">
        <v>5</v>
      </c>
      <c r="B59" s="33">
        <f>SUM(L52+O35+L20+K8)</f>
        <v>31088</v>
      </c>
      <c r="C59" s="34">
        <f>SUM(L47+O31+L17+K5)</f>
        <v>13001</v>
      </c>
      <c r="D59" s="34">
        <f>SUM(L48+O32+L18+K6)</f>
        <v>13889</v>
      </c>
      <c r="E59" s="34">
        <v>240</v>
      </c>
      <c r="F59" s="34">
        <f>SUM(L49+O33+L19+K7)</f>
        <v>3671</v>
      </c>
      <c r="G59" s="34">
        <f>SUM(O34+L21+L51)</f>
        <v>787</v>
      </c>
    </row>
    <row r="60" spans="1:15" ht="14.25">
      <c r="A60" s="32" t="s">
        <v>6</v>
      </c>
      <c r="B60" s="35">
        <v>1</v>
      </c>
      <c r="C60" s="36">
        <f>SUM(C59/$B$59)</f>
        <v>0.41819994853319609</v>
      </c>
      <c r="D60" s="36">
        <f>SUM(D59/$B$59)</f>
        <v>0.4467640247040659</v>
      </c>
      <c r="E60" s="36">
        <f>SUM(E59/$B$59)</f>
        <v>7.7200205867215647E-3</v>
      </c>
      <c r="F60" s="36">
        <f>SUM(F59/$B$59)</f>
        <v>0.11808414822439527</v>
      </c>
      <c r="G60" s="36">
        <f>SUM(G59/$B$59)</f>
        <v>2.5315234173957799E-2</v>
      </c>
    </row>
    <row r="61" spans="1:15" ht="14.25">
      <c r="A61" s="32" t="s">
        <v>7</v>
      </c>
      <c r="B61" s="27">
        <v>25</v>
      </c>
      <c r="C61">
        <v>11</v>
      </c>
      <c r="D61">
        <v>11</v>
      </c>
      <c r="E61">
        <v>0</v>
      </c>
      <c r="F61">
        <v>3</v>
      </c>
      <c r="G61">
        <v>0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66"/>
  <sheetViews>
    <sheetView tabSelected="1" workbookViewId="0">
      <selection activeCell="O1" sqref="O1"/>
    </sheetView>
  </sheetViews>
  <sheetFormatPr defaultRowHeight="12.75"/>
  <cols>
    <col min="1" max="1" width="25.42578125" customWidth="1"/>
  </cols>
  <sheetData>
    <row r="1" spans="1:16" s="2" customFormat="1" ht="14.25">
      <c r="A1" s="1" t="s">
        <v>242</v>
      </c>
    </row>
    <row r="2" spans="1:16" s="2" customFormat="1" ht="9" customHeight="1" thickBot="1">
      <c r="A2" s="1"/>
    </row>
    <row r="3" spans="1:16" s="2" customFormat="1" ht="15.75" thickBot="1">
      <c r="A3" s="3" t="s">
        <v>0</v>
      </c>
      <c r="B3" s="4" t="s">
        <v>1</v>
      </c>
      <c r="C3" s="4" t="s">
        <v>2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/>
      <c r="M3" s="6" t="s">
        <v>289</v>
      </c>
      <c r="N3" s="39">
        <f>(7310/10510)</f>
        <v>0.69552806850618454</v>
      </c>
    </row>
    <row r="4" spans="1:16" s="2" customFormat="1" ht="15.75" thickBot="1">
      <c r="A4" s="7" t="s">
        <v>165</v>
      </c>
      <c r="B4" s="20" t="s">
        <v>3</v>
      </c>
      <c r="C4" s="9">
        <v>1334</v>
      </c>
      <c r="D4" s="76"/>
      <c r="E4" s="76"/>
      <c r="F4" s="76"/>
      <c r="G4" s="76"/>
      <c r="H4" s="76"/>
      <c r="I4" s="76"/>
      <c r="J4" s="76"/>
      <c r="K4" s="76"/>
      <c r="L4" s="75" t="s">
        <v>4</v>
      </c>
      <c r="M4" s="5"/>
      <c r="N4" s="6" t="s">
        <v>5</v>
      </c>
      <c r="O4" s="6" t="s">
        <v>6</v>
      </c>
      <c r="P4" s="6" t="s">
        <v>7</v>
      </c>
    </row>
    <row r="5" spans="1:16" s="2" customFormat="1" ht="15.75" thickBot="1">
      <c r="A5" s="7" t="s">
        <v>237</v>
      </c>
      <c r="B5" s="8" t="s">
        <v>8</v>
      </c>
      <c r="C5" s="76">
        <v>922</v>
      </c>
      <c r="D5" s="76">
        <v>952</v>
      </c>
      <c r="E5" s="76">
        <v>954</v>
      </c>
      <c r="F5" s="76">
        <v>963</v>
      </c>
      <c r="G5" s="76">
        <v>973</v>
      </c>
      <c r="H5" s="76">
        <v>990</v>
      </c>
      <c r="I5" s="76">
        <v>995</v>
      </c>
      <c r="J5" s="76">
        <v>1034</v>
      </c>
      <c r="K5" s="9">
        <v>1098</v>
      </c>
      <c r="L5" s="75" t="s">
        <v>12</v>
      </c>
      <c r="M5" s="13" t="s">
        <v>8</v>
      </c>
      <c r="N5" s="14">
        <f>SUM(C5+C7+C9+C15)</f>
        <v>2547</v>
      </c>
      <c r="O5" s="15">
        <f>SUM(N5/N9)</f>
        <v>0.35399583043780403</v>
      </c>
      <c r="P5" s="5">
        <v>2</v>
      </c>
    </row>
    <row r="6" spans="1:16" s="2" customFormat="1" ht="15.75" thickBot="1">
      <c r="A6" s="7" t="s">
        <v>166</v>
      </c>
      <c r="B6" s="20" t="s">
        <v>3</v>
      </c>
      <c r="C6" s="76">
        <v>896</v>
      </c>
      <c r="D6" s="76">
        <v>900</v>
      </c>
      <c r="E6" s="76">
        <v>953</v>
      </c>
      <c r="F6" s="76">
        <v>1016</v>
      </c>
      <c r="G6" s="76">
        <v>1121</v>
      </c>
      <c r="H6" s="9">
        <v>1289</v>
      </c>
      <c r="I6" s="76"/>
      <c r="J6" s="76"/>
      <c r="K6" s="76"/>
      <c r="L6" s="75" t="s">
        <v>9</v>
      </c>
      <c r="M6" s="16" t="s">
        <v>3</v>
      </c>
      <c r="N6" s="14">
        <f>SUM(C4+C6+C12+C13)</f>
        <v>2864</v>
      </c>
      <c r="O6" s="15">
        <f>SUM(N6/N9)</f>
        <v>0.3980542043085476</v>
      </c>
      <c r="P6" s="5">
        <v>2</v>
      </c>
    </row>
    <row r="7" spans="1:16" s="2" customFormat="1" ht="15.75" thickBot="1">
      <c r="A7" s="7" t="s">
        <v>130</v>
      </c>
      <c r="B7" s="8" t="s">
        <v>8</v>
      </c>
      <c r="C7" s="76">
        <v>883</v>
      </c>
      <c r="D7" s="76">
        <v>896</v>
      </c>
      <c r="E7" s="76">
        <v>905</v>
      </c>
      <c r="F7" s="76">
        <v>937</v>
      </c>
      <c r="G7" s="76">
        <v>945</v>
      </c>
      <c r="H7" s="76">
        <v>950</v>
      </c>
      <c r="I7" s="76">
        <v>957</v>
      </c>
      <c r="J7" s="76">
        <v>1012</v>
      </c>
      <c r="K7" s="9">
        <v>1083</v>
      </c>
      <c r="L7" s="75" t="s">
        <v>10</v>
      </c>
      <c r="M7" s="19" t="s">
        <v>11</v>
      </c>
      <c r="N7" s="38">
        <v>629</v>
      </c>
      <c r="O7" s="39">
        <f>SUM(N7/N9)</f>
        <v>8.7421820708825579E-2</v>
      </c>
      <c r="P7" s="2">
        <v>1</v>
      </c>
    </row>
    <row r="8" spans="1:16" s="2" customFormat="1" ht="15.75" thickBot="1">
      <c r="A8" s="7" t="s">
        <v>238</v>
      </c>
      <c r="B8" s="37" t="s">
        <v>11</v>
      </c>
      <c r="C8" s="76">
        <v>629</v>
      </c>
      <c r="D8" s="76">
        <v>637</v>
      </c>
      <c r="E8" s="76">
        <v>642</v>
      </c>
      <c r="F8" s="76">
        <v>723</v>
      </c>
      <c r="G8" s="76">
        <v>740</v>
      </c>
      <c r="H8" s="76">
        <v>767</v>
      </c>
      <c r="I8" s="76">
        <v>786</v>
      </c>
      <c r="J8" s="76">
        <v>852</v>
      </c>
      <c r="K8" s="9">
        <v>1004</v>
      </c>
      <c r="L8" s="75" t="s">
        <v>15</v>
      </c>
      <c r="M8" s="6" t="s">
        <v>17</v>
      </c>
      <c r="N8" s="38">
        <f>SUM(C10+C11+C14)</f>
        <v>1155</v>
      </c>
      <c r="O8" s="39">
        <f>SUM(N8/N9)</f>
        <v>0.16052814454482278</v>
      </c>
    </row>
    <row r="9" spans="1:16" s="2" customFormat="1" ht="15.75" thickBot="1">
      <c r="A9" s="17" t="s">
        <v>167</v>
      </c>
      <c r="B9" s="23" t="s">
        <v>8</v>
      </c>
      <c r="C9" s="76">
        <v>605</v>
      </c>
      <c r="D9" s="76">
        <v>632</v>
      </c>
      <c r="E9" s="76">
        <v>644</v>
      </c>
      <c r="F9" s="76">
        <v>649</v>
      </c>
      <c r="G9" s="76">
        <v>739</v>
      </c>
      <c r="H9" s="76">
        <v>779</v>
      </c>
      <c r="I9" s="76">
        <v>788</v>
      </c>
      <c r="J9" s="76">
        <v>879</v>
      </c>
      <c r="K9" s="76">
        <v>1003</v>
      </c>
      <c r="L9" s="10"/>
      <c r="M9" s="26"/>
      <c r="N9" s="22">
        <v>7195</v>
      </c>
      <c r="O9" s="39"/>
    </row>
    <row r="10" spans="1:16" s="2" customFormat="1" ht="15.75" thickBot="1">
      <c r="A10" s="17" t="s">
        <v>133</v>
      </c>
      <c r="B10" s="10" t="s">
        <v>18</v>
      </c>
      <c r="C10" s="76">
        <v>438</v>
      </c>
      <c r="D10" s="76">
        <v>454</v>
      </c>
      <c r="E10" s="76">
        <v>457</v>
      </c>
      <c r="F10" s="76">
        <v>484</v>
      </c>
      <c r="G10" s="76">
        <v>485</v>
      </c>
      <c r="H10" s="76">
        <v>539</v>
      </c>
      <c r="I10" s="76">
        <v>559</v>
      </c>
      <c r="J10" s="76" t="s">
        <v>16</v>
      </c>
    </row>
    <row r="11" spans="1:16" s="2" customFormat="1" ht="15.75" thickBot="1">
      <c r="A11" s="17" t="s">
        <v>135</v>
      </c>
      <c r="B11" s="10" t="s">
        <v>18</v>
      </c>
      <c r="C11" s="76">
        <v>429</v>
      </c>
      <c r="D11" s="76">
        <v>440</v>
      </c>
      <c r="E11" s="76">
        <v>444</v>
      </c>
      <c r="F11" s="76">
        <v>473</v>
      </c>
      <c r="G11" s="76">
        <v>488</v>
      </c>
      <c r="H11" s="76">
        <v>578</v>
      </c>
      <c r="I11" s="76">
        <v>607</v>
      </c>
      <c r="J11" s="76">
        <v>760</v>
      </c>
      <c r="K11" s="76" t="s">
        <v>16</v>
      </c>
      <c r="L11" s="38"/>
    </row>
    <row r="12" spans="1:16" s="2" customFormat="1" ht="15.75" thickBot="1">
      <c r="A12" s="17" t="s">
        <v>239</v>
      </c>
      <c r="B12" s="25" t="s">
        <v>3</v>
      </c>
      <c r="C12" s="76">
        <v>334</v>
      </c>
      <c r="D12" s="76">
        <v>350</v>
      </c>
      <c r="E12" s="76">
        <v>373</v>
      </c>
      <c r="F12" s="76">
        <v>390</v>
      </c>
      <c r="G12" s="76">
        <v>448</v>
      </c>
      <c r="H12" s="76" t="s">
        <v>16</v>
      </c>
    </row>
    <row r="13" spans="1:16" s="2" customFormat="1" ht="15.75" thickBot="1">
      <c r="A13" s="17" t="s">
        <v>187</v>
      </c>
      <c r="B13" s="25" t="s">
        <v>3</v>
      </c>
      <c r="C13" s="76">
        <v>300</v>
      </c>
      <c r="D13" s="76">
        <v>303</v>
      </c>
      <c r="E13" s="76">
        <v>320</v>
      </c>
      <c r="F13" s="76">
        <v>322</v>
      </c>
      <c r="G13" s="76" t="s">
        <v>16</v>
      </c>
    </row>
    <row r="14" spans="1:16" s="2" customFormat="1" ht="15.75" thickBot="1">
      <c r="A14" s="17" t="s">
        <v>136</v>
      </c>
      <c r="B14" s="10" t="s">
        <v>18</v>
      </c>
      <c r="C14" s="76">
        <v>288</v>
      </c>
      <c r="D14" s="76">
        <v>292</v>
      </c>
      <c r="E14" s="76">
        <v>298</v>
      </c>
      <c r="F14" s="76" t="s">
        <v>16</v>
      </c>
    </row>
    <row r="15" spans="1:16" s="2" customFormat="1" ht="15.75" thickBot="1">
      <c r="A15" s="17" t="s">
        <v>240</v>
      </c>
      <c r="B15" s="23" t="s">
        <v>8</v>
      </c>
      <c r="C15" s="76">
        <v>137</v>
      </c>
      <c r="D15" s="76" t="s">
        <v>16</v>
      </c>
      <c r="H15" s="38"/>
      <c r="I15" s="38"/>
    </row>
    <row r="16" spans="1:16" s="2" customFormat="1" ht="14.25"/>
    <row r="17" spans="1:14" s="2" customFormat="1" ht="14.25">
      <c r="A17" s="1" t="s">
        <v>223</v>
      </c>
    </row>
    <row r="18" spans="1:14" s="2" customFormat="1" ht="9.75" customHeight="1" thickBot="1">
      <c r="A18" s="1"/>
    </row>
    <row r="19" spans="1:14" s="2" customFormat="1" ht="15.75" thickBot="1">
      <c r="A19" s="3" t="s">
        <v>0</v>
      </c>
      <c r="B19" s="4" t="s">
        <v>1</v>
      </c>
      <c r="C19" s="4" t="s">
        <v>2</v>
      </c>
      <c r="D19" s="4">
        <v>2</v>
      </c>
      <c r="E19" s="4">
        <v>3</v>
      </c>
      <c r="F19" s="4">
        <v>4</v>
      </c>
      <c r="G19" s="4">
        <v>5</v>
      </c>
      <c r="H19" s="4">
        <v>6</v>
      </c>
      <c r="I19" s="4">
        <v>7</v>
      </c>
      <c r="J19" s="4"/>
      <c r="K19" s="6" t="s">
        <v>289</v>
      </c>
      <c r="L19" s="39">
        <f>(8995/14362)</f>
        <v>0.62630552847792786</v>
      </c>
    </row>
    <row r="20" spans="1:14" s="2" customFormat="1" ht="15.75" thickBot="1">
      <c r="A20" s="7" t="s">
        <v>171</v>
      </c>
      <c r="B20" s="37" t="s">
        <v>11</v>
      </c>
      <c r="C20" s="9">
        <v>1354</v>
      </c>
      <c r="D20" s="76"/>
      <c r="E20" s="9"/>
      <c r="F20" s="76"/>
      <c r="G20" s="76"/>
      <c r="H20" s="76"/>
      <c r="I20" s="76"/>
      <c r="J20" s="75" t="s">
        <v>4</v>
      </c>
      <c r="K20" s="5"/>
      <c r="L20" s="6" t="s">
        <v>5</v>
      </c>
      <c r="M20" s="6" t="s">
        <v>6</v>
      </c>
      <c r="N20" s="6" t="s">
        <v>7</v>
      </c>
    </row>
    <row r="21" spans="1:14" s="2" customFormat="1" ht="15.75" thickBot="1">
      <c r="A21" s="7" t="s">
        <v>172</v>
      </c>
      <c r="B21" s="20" t="s">
        <v>3</v>
      </c>
      <c r="C21" s="9">
        <v>1233</v>
      </c>
      <c r="D21" s="76"/>
      <c r="E21" s="9"/>
      <c r="F21" s="9"/>
      <c r="G21" s="9"/>
      <c r="H21" s="9"/>
      <c r="I21" s="9"/>
      <c r="J21" s="75" t="s">
        <v>9</v>
      </c>
      <c r="K21" s="13" t="s">
        <v>8</v>
      </c>
      <c r="L21" s="14">
        <f>SUM(C26:C29)</f>
        <v>2528</v>
      </c>
      <c r="M21" s="15">
        <f>SUM(L21/L25)</f>
        <v>0.2860375650599683</v>
      </c>
      <c r="N21" s="5">
        <v>2</v>
      </c>
    </row>
    <row r="22" spans="1:14" s="2" customFormat="1" ht="15.75" thickBot="1">
      <c r="A22" s="7" t="s">
        <v>224</v>
      </c>
      <c r="B22" s="20" t="s">
        <v>3</v>
      </c>
      <c r="C22" s="76">
        <v>1064</v>
      </c>
      <c r="D22" s="76">
        <v>1086</v>
      </c>
      <c r="E22" s="9">
        <v>1115</v>
      </c>
      <c r="F22" s="76"/>
      <c r="G22" s="9"/>
      <c r="H22" s="9"/>
      <c r="I22" s="9"/>
      <c r="J22" s="75" t="s">
        <v>12</v>
      </c>
      <c r="K22" s="16" t="s">
        <v>3</v>
      </c>
      <c r="L22" s="14">
        <f>SUM(C21:C24)</f>
        <v>4125</v>
      </c>
      <c r="M22" s="15">
        <f>SUM(L22/L25)</f>
        <v>0.46673455532926</v>
      </c>
      <c r="N22" s="5">
        <v>4</v>
      </c>
    </row>
    <row r="23" spans="1:14" s="2" customFormat="1" ht="15.75" thickBot="1">
      <c r="A23" s="7" t="s">
        <v>147</v>
      </c>
      <c r="B23" s="20" t="s">
        <v>3</v>
      </c>
      <c r="C23" s="76">
        <v>925</v>
      </c>
      <c r="D23" s="76">
        <v>968</v>
      </c>
      <c r="E23" s="76">
        <v>1017</v>
      </c>
      <c r="F23" s="9">
        <v>1115</v>
      </c>
      <c r="G23" s="9"/>
      <c r="H23" s="76"/>
      <c r="I23" s="76"/>
      <c r="J23" s="75" t="s">
        <v>10</v>
      </c>
      <c r="K23" s="19" t="s">
        <v>11</v>
      </c>
      <c r="L23" s="14">
        <v>1354</v>
      </c>
      <c r="M23" s="15">
        <f>SUM(L23/L25)</f>
        <v>0.15320208191898618</v>
      </c>
      <c r="N23" s="5">
        <v>1</v>
      </c>
    </row>
    <row r="24" spans="1:14" s="2" customFormat="1" ht="15.75" thickBot="1">
      <c r="A24" s="7" t="s">
        <v>226</v>
      </c>
      <c r="B24" s="20" t="s">
        <v>3</v>
      </c>
      <c r="C24" s="76">
        <v>903</v>
      </c>
      <c r="D24" s="76">
        <v>939</v>
      </c>
      <c r="E24" s="76">
        <v>954</v>
      </c>
      <c r="F24" s="76">
        <v>976</v>
      </c>
      <c r="G24" s="76">
        <v>1002</v>
      </c>
      <c r="H24" s="76">
        <v>1012</v>
      </c>
      <c r="I24" s="9">
        <v>1020</v>
      </c>
      <c r="J24" s="75" t="s">
        <v>57</v>
      </c>
      <c r="K24" s="88" t="s">
        <v>13</v>
      </c>
      <c r="L24" s="14">
        <v>831</v>
      </c>
      <c r="M24" s="15">
        <f>SUM(L24/L25)</f>
        <v>9.402579769178547E-2</v>
      </c>
      <c r="N24" s="5"/>
    </row>
    <row r="25" spans="1:14" s="2" customFormat="1" ht="15.75" thickBot="1">
      <c r="A25" s="17" t="s">
        <v>227</v>
      </c>
      <c r="B25" s="87" t="s">
        <v>13</v>
      </c>
      <c r="C25" s="76">
        <v>831</v>
      </c>
      <c r="D25" s="76">
        <v>886</v>
      </c>
      <c r="E25" s="76">
        <v>897</v>
      </c>
      <c r="F25" s="76">
        <v>921</v>
      </c>
      <c r="G25" s="76">
        <v>979</v>
      </c>
      <c r="H25" s="76">
        <v>995</v>
      </c>
      <c r="I25" s="76">
        <v>997</v>
      </c>
      <c r="J25" s="75"/>
      <c r="K25" s="26"/>
      <c r="L25" s="22">
        <v>8838</v>
      </c>
      <c r="M25" s="15"/>
      <c r="N25" s="5"/>
    </row>
    <row r="26" spans="1:14" s="2" customFormat="1" ht="15.75" thickBot="1">
      <c r="A26" s="7" t="s">
        <v>144</v>
      </c>
      <c r="B26" s="8" t="s">
        <v>8</v>
      </c>
      <c r="C26" s="76">
        <v>769</v>
      </c>
      <c r="D26" s="76">
        <v>789</v>
      </c>
      <c r="E26" s="76">
        <v>794</v>
      </c>
      <c r="F26" s="76">
        <v>888</v>
      </c>
      <c r="G26" s="9">
        <v>1105</v>
      </c>
      <c r="H26" s="76"/>
      <c r="I26" s="9"/>
      <c r="J26" s="75" t="s">
        <v>14</v>
      </c>
      <c r="L26" s="22"/>
    </row>
    <row r="27" spans="1:14" s="2" customFormat="1" ht="15.75" thickBot="1">
      <c r="A27" s="7" t="s">
        <v>225</v>
      </c>
      <c r="B27" s="8" t="s">
        <v>8</v>
      </c>
      <c r="C27" s="76">
        <v>722</v>
      </c>
      <c r="D27" s="76">
        <v>741</v>
      </c>
      <c r="E27" s="76">
        <v>752</v>
      </c>
      <c r="F27" s="76">
        <v>911</v>
      </c>
      <c r="G27" s="9">
        <v>1131</v>
      </c>
      <c r="H27" s="76"/>
      <c r="I27" s="9"/>
      <c r="J27" s="75" t="s">
        <v>15</v>
      </c>
    </row>
    <row r="28" spans="1:14" s="2" customFormat="1" ht="15.75" thickBot="1">
      <c r="A28" s="17" t="s">
        <v>228</v>
      </c>
      <c r="B28" s="23" t="s">
        <v>8</v>
      </c>
      <c r="C28" s="76">
        <v>576</v>
      </c>
      <c r="D28" s="76">
        <v>595</v>
      </c>
      <c r="E28" s="76">
        <v>599</v>
      </c>
      <c r="F28" s="76">
        <v>655</v>
      </c>
      <c r="G28" s="76" t="s">
        <v>16</v>
      </c>
    </row>
    <row r="29" spans="1:14" s="2" customFormat="1" ht="15.75" thickBot="1">
      <c r="A29" s="17" t="s">
        <v>145</v>
      </c>
      <c r="B29" s="23" t="s">
        <v>8</v>
      </c>
      <c r="C29" s="76">
        <v>461</v>
      </c>
      <c r="D29" s="76">
        <v>496</v>
      </c>
      <c r="E29" s="76">
        <v>500</v>
      </c>
      <c r="F29" s="76" t="s">
        <v>16</v>
      </c>
      <c r="J29" s="38"/>
    </row>
    <row r="30" spans="1:14" s="2" customFormat="1" ht="14.25"/>
    <row r="31" spans="1:14" s="2" customFormat="1" ht="14.25">
      <c r="A31" s="1" t="s">
        <v>212</v>
      </c>
    </row>
    <row r="32" spans="1:14" s="2" customFormat="1" ht="9" customHeight="1" thickBot="1">
      <c r="A32" s="1"/>
    </row>
    <row r="33" spans="1:15" s="2" customFormat="1" ht="15.75" thickBot="1">
      <c r="A33" s="3" t="s">
        <v>0</v>
      </c>
      <c r="B33" s="4" t="s">
        <v>1</v>
      </c>
      <c r="C33" s="4" t="s">
        <v>2</v>
      </c>
      <c r="D33" s="4">
        <v>2</v>
      </c>
      <c r="E33" s="4">
        <v>3</v>
      </c>
      <c r="F33" s="4">
        <v>4</v>
      </c>
      <c r="G33" s="4">
        <v>5</v>
      </c>
      <c r="H33" s="4">
        <v>6</v>
      </c>
      <c r="I33" s="4">
        <v>7</v>
      </c>
      <c r="J33" s="4">
        <v>8</v>
      </c>
      <c r="K33" s="4"/>
      <c r="L33" s="6" t="s">
        <v>289</v>
      </c>
      <c r="M33" s="39">
        <f>(10307/15404)</f>
        <v>0.66911191898208255</v>
      </c>
    </row>
    <row r="34" spans="1:15" s="2" customFormat="1" ht="15.75" thickBot="1">
      <c r="A34" s="7" t="s">
        <v>217</v>
      </c>
      <c r="B34" s="8" t="s">
        <v>8</v>
      </c>
      <c r="C34" s="76">
        <v>1019</v>
      </c>
      <c r="D34" s="76">
        <v>1061</v>
      </c>
      <c r="E34" s="76">
        <v>1115</v>
      </c>
      <c r="F34" s="9">
        <v>1285</v>
      </c>
      <c r="G34" s="9"/>
      <c r="H34" s="76"/>
      <c r="I34" s="76"/>
      <c r="J34" s="9"/>
      <c r="K34" s="75" t="s">
        <v>4</v>
      </c>
      <c r="L34" s="5"/>
      <c r="M34" s="6" t="s">
        <v>5</v>
      </c>
      <c r="N34" s="6" t="s">
        <v>6</v>
      </c>
      <c r="O34" s="6" t="s">
        <v>7</v>
      </c>
    </row>
    <row r="35" spans="1:15" s="2" customFormat="1" ht="15.75" thickBot="1">
      <c r="A35" s="7" t="s">
        <v>218</v>
      </c>
      <c r="B35" s="20" t="s">
        <v>3</v>
      </c>
      <c r="C35" s="76">
        <v>952</v>
      </c>
      <c r="D35" s="76">
        <v>992</v>
      </c>
      <c r="E35" s="76">
        <v>1014</v>
      </c>
      <c r="F35" s="76">
        <v>1042</v>
      </c>
      <c r="G35" s="76">
        <v>1043</v>
      </c>
      <c r="H35" s="76">
        <v>1104</v>
      </c>
      <c r="I35" s="76">
        <v>1117</v>
      </c>
      <c r="J35" s="9">
        <v>1151</v>
      </c>
      <c r="K35" s="75" t="s">
        <v>57</v>
      </c>
      <c r="L35" s="13" t="s">
        <v>8</v>
      </c>
      <c r="M35" s="14">
        <f>SUM(C34+C38+C41+C42+C44)</f>
        <v>4214</v>
      </c>
      <c r="N35" s="15">
        <f>SUM(M35/M40)</f>
        <v>0.41403026134800552</v>
      </c>
      <c r="O35" s="5">
        <v>2</v>
      </c>
    </row>
    <row r="36" spans="1:15" s="2" customFormat="1" ht="15.75" thickBot="1">
      <c r="A36" s="7" t="s">
        <v>149</v>
      </c>
      <c r="B36" s="20" t="s">
        <v>3</v>
      </c>
      <c r="C36" s="76">
        <v>911</v>
      </c>
      <c r="D36" s="76">
        <v>932</v>
      </c>
      <c r="E36" s="76">
        <v>967</v>
      </c>
      <c r="F36" s="76">
        <v>989</v>
      </c>
      <c r="G36" s="76">
        <v>989</v>
      </c>
      <c r="H36" s="76">
        <v>1133</v>
      </c>
      <c r="I36" s="9">
        <v>1542</v>
      </c>
      <c r="J36" s="76"/>
      <c r="K36" s="75" t="s">
        <v>12</v>
      </c>
      <c r="L36" s="16" t="s">
        <v>3</v>
      </c>
      <c r="M36" s="14">
        <f>SUM(C35+C36+C37+C39+C43)</f>
        <v>4359</v>
      </c>
      <c r="N36" s="15">
        <f>SUM(M36/M40)</f>
        <v>0.4282766751817646</v>
      </c>
      <c r="O36" s="5">
        <v>4</v>
      </c>
    </row>
    <row r="37" spans="1:15" s="2" customFormat="1" ht="15.75" thickBot="1">
      <c r="A37" s="7" t="s">
        <v>220</v>
      </c>
      <c r="B37" s="20" t="s">
        <v>3</v>
      </c>
      <c r="C37" s="76">
        <v>882</v>
      </c>
      <c r="D37" s="76">
        <v>894</v>
      </c>
      <c r="E37" s="76">
        <v>925</v>
      </c>
      <c r="F37" s="76">
        <v>1093</v>
      </c>
      <c r="G37" s="76">
        <v>1096</v>
      </c>
      <c r="H37" s="76">
        <v>1188</v>
      </c>
      <c r="I37" s="76">
        <v>1226</v>
      </c>
      <c r="J37" s="9">
        <v>1277</v>
      </c>
      <c r="K37" s="75" t="s">
        <v>10</v>
      </c>
      <c r="L37" s="19" t="s">
        <v>11</v>
      </c>
      <c r="M37" s="14">
        <v>850</v>
      </c>
      <c r="N37" s="15">
        <f>SUM(M37/M40)</f>
        <v>8.3513460404794654E-2</v>
      </c>
      <c r="O37" s="5">
        <v>1</v>
      </c>
    </row>
    <row r="38" spans="1:15" s="2" customFormat="1" ht="15.75" thickBot="1">
      <c r="A38" s="17" t="s">
        <v>109</v>
      </c>
      <c r="B38" s="23" t="s">
        <v>8</v>
      </c>
      <c r="C38" s="76">
        <v>872</v>
      </c>
      <c r="D38" s="76">
        <v>886</v>
      </c>
      <c r="E38" s="76">
        <v>893</v>
      </c>
      <c r="F38" s="76">
        <v>959</v>
      </c>
      <c r="G38" s="76">
        <v>961</v>
      </c>
      <c r="H38" s="76">
        <v>970</v>
      </c>
      <c r="I38" s="76">
        <v>1069</v>
      </c>
      <c r="J38" s="76">
        <v>1111</v>
      </c>
      <c r="K38" s="11"/>
      <c r="L38" s="44" t="s">
        <v>20</v>
      </c>
      <c r="M38" s="38">
        <v>294</v>
      </c>
      <c r="N38" s="39">
        <f>SUM(M38/M40)</f>
        <v>2.8885832187070151E-2</v>
      </c>
    </row>
    <row r="39" spans="1:15" s="2" customFormat="1" ht="15.75" thickBot="1">
      <c r="A39" s="7" t="s">
        <v>219</v>
      </c>
      <c r="B39" s="20" t="s">
        <v>3</v>
      </c>
      <c r="C39" s="76">
        <v>857</v>
      </c>
      <c r="D39" s="76">
        <v>888</v>
      </c>
      <c r="E39" s="76">
        <v>963</v>
      </c>
      <c r="F39" s="76">
        <v>989</v>
      </c>
      <c r="G39" s="76">
        <v>990</v>
      </c>
      <c r="H39" s="9">
        <v>1288</v>
      </c>
      <c r="I39" s="76"/>
      <c r="J39" s="76"/>
      <c r="K39" s="75" t="s">
        <v>9</v>
      </c>
      <c r="L39" s="6" t="s">
        <v>17</v>
      </c>
      <c r="M39" s="38">
        <v>461</v>
      </c>
      <c r="N39" s="39">
        <f>SUM(M39/M40)</f>
        <v>4.52937708783651E-2</v>
      </c>
    </row>
    <row r="40" spans="1:15" s="2" customFormat="1" ht="15.75" thickBot="1">
      <c r="A40" s="7" t="s">
        <v>215</v>
      </c>
      <c r="B40" s="37" t="s">
        <v>11</v>
      </c>
      <c r="C40" s="76">
        <v>850</v>
      </c>
      <c r="D40" s="76">
        <v>883</v>
      </c>
      <c r="E40" s="76">
        <v>957</v>
      </c>
      <c r="F40" s="76">
        <v>1024</v>
      </c>
      <c r="G40" s="76">
        <v>1026</v>
      </c>
      <c r="H40" s="76">
        <v>1070</v>
      </c>
      <c r="I40" s="76">
        <v>1122</v>
      </c>
      <c r="J40" s="9">
        <v>1165</v>
      </c>
      <c r="K40" s="9" t="s">
        <v>14</v>
      </c>
      <c r="M40" s="22">
        <v>10178</v>
      </c>
    </row>
    <row r="41" spans="1:15" s="2" customFormat="1" ht="15.75" thickBot="1">
      <c r="A41" s="7" t="s">
        <v>221</v>
      </c>
      <c r="B41" s="8" t="s">
        <v>8</v>
      </c>
      <c r="C41" s="76">
        <v>838</v>
      </c>
      <c r="D41" s="76">
        <v>843</v>
      </c>
      <c r="E41" s="76">
        <v>855</v>
      </c>
      <c r="F41" s="76">
        <v>901</v>
      </c>
      <c r="G41" s="76">
        <v>903</v>
      </c>
      <c r="H41" s="76">
        <v>1006</v>
      </c>
      <c r="I41" s="76">
        <v>1185</v>
      </c>
      <c r="J41" s="9">
        <v>1250</v>
      </c>
      <c r="K41" s="9" t="s">
        <v>15</v>
      </c>
    </row>
    <row r="42" spans="1:15" s="2" customFormat="1" ht="15.75" thickBot="1">
      <c r="A42" s="17" t="s">
        <v>216</v>
      </c>
      <c r="B42" s="23" t="s">
        <v>8</v>
      </c>
      <c r="C42" s="80">
        <v>776</v>
      </c>
      <c r="D42" s="76">
        <v>786</v>
      </c>
      <c r="E42" s="76">
        <v>811</v>
      </c>
      <c r="F42" s="76">
        <v>878</v>
      </c>
      <c r="G42" s="76">
        <v>879</v>
      </c>
      <c r="H42" s="76">
        <v>917</v>
      </c>
      <c r="I42" s="76" t="s">
        <v>16</v>
      </c>
    </row>
    <row r="43" spans="1:15" s="2" customFormat="1" ht="15.75" thickBot="1">
      <c r="A43" s="17" t="s">
        <v>214</v>
      </c>
      <c r="B43" s="25" t="s">
        <v>3</v>
      </c>
      <c r="C43" s="76">
        <v>757</v>
      </c>
      <c r="D43" s="76">
        <v>768</v>
      </c>
      <c r="E43" s="76">
        <v>848</v>
      </c>
      <c r="F43" s="76">
        <v>867</v>
      </c>
      <c r="G43" s="76">
        <v>867</v>
      </c>
      <c r="H43" s="76" t="s">
        <v>16</v>
      </c>
      <c r="J43" s="81"/>
      <c r="K43" s="82"/>
    </row>
    <row r="44" spans="1:15" s="2" customFormat="1" ht="15.75" thickBot="1">
      <c r="A44" s="17" t="s">
        <v>209</v>
      </c>
      <c r="B44" s="23" t="s">
        <v>8</v>
      </c>
      <c r="C44" s="76">
        <v>709</v>
      </c>
      <c r="D44" s="76">
        <v>721</v>
      </c>
      <c r="E44" s="76">
        <v>738</v>
      </c>
      <c r="F44" s="76" t="s">
        <v>16</v>
      </c>
      <c r="H44" s="82"/>
      <c r="I44" s="81"/>
      <c r="J44" s="81"/>
      <c r="K44" s="82"/>
    </row>
    <row r="45" spans="1:15" s="2" customFormat="1" ht="15.75" thickBot="1">
      <c r="A45" s="17" t="s">
        <v>185</v>
      </c>
      <c r="B45" s="41" t="s">
        <v>18</v>
      </c>
      <c r="C45" s="76">
        <v>461</v>
      </c>
      <c r="D45" s="76">
        <v>487</v>
      </c>
      <c r="E45" s="76" t="s">
        <v>16</v>
      </c>
      <c r="G45" s="81"/>
      <c r="H45" s="82"/>
    </row>
    <row r="46" spans="1:15" s="2" customFormat="1" ht="15.75" thickBot="1">
      <c r="A46" s="17" t="s">
        <v>222</v>
      </c>
      <c r="B46" s="86" t="s">
        <v>20</v>
      </c>
      <c r="C46" s="76">
        <v>294</v>
      </c>
      <c r="D46" s="76" t="s">
        <v>16</v>
      </c>
      <c r="G46" s="81"/>
      <c r="H46" s="82"/>
    </row>
    <row r="47" spans="1:15" s="2" customFormat="1" ht="14.25">
      <c r="G47" s="38"/>
    </row>
    <row r="48" spans="1:15" s="2" customFormat="1" ht="14.25">
      <c r="A48" s="1" t="s">
        <v>229</v>
      </c>
    </row>
    <row r="49" spans="1:16" s="2" customFormat="1" ht="9.75" customHeight="1" thickBot="1">
      <c r="A49" s="1"/>
    </row>
    <row r="50" spans="1:16" s="2" customFormat="1" ht="15.75" thickBot="1">
      <c r="A50" s="3" t="s">
        <v>0</v>
      </c>
      <c r="B50" s="4" t="s">
        <v>1</v>
      </c>
      <c r="C50" s="4" t="s">
        <v>2</v>
      </c>
      <c r="D50" s="4">
        <v>2</v>
      </c>
      <c r="E50" s="4">
        <v>3</v>
      </c>
      <c r="F50" s="4">
        <v>4</v>
      </c>
      <c r="G50" s="4">
        <v>5</v>
      </c>
      <c r="H50" s="4">
        <v>6</v>
      </c>
      <c r="I50" s="4"/>
      <c r="J50" s="6" t="s">
        <v>289</v>
      </c>
      <c r="K50" s="39">
        <f>(9046/14262)</f>
        <v>0.63427289300238399</v>
      </c>
    </row>
    <row r="51" spans="1:16" s="2" customFormat="1" ht="15.75" thickBot="1">
      <c r="A51" s="7" t="s">
        <v>230</v>
      </c>
      <c r="B51" s="20" t="s">
        <v>3</v>
      </c>
      <c r="C51" s="76">
        <v>1177</v>
      </c>
      <c r="D51" s="76">
        <v>1239</v>
      </c>
      <c r="E51" s="9">
        <v>1289</v>
      </c>
      <c r="F51" s="9"/>
      <c r="G51" s="9"/>
      <c r="H51" s="9"/>
      <c r="I51" s="11" t="s">
        <v>4</v>
      </c>
      <c r="J51" s="5"/>
      <c r="K51" s="6" t="s">
        <v>5</v>
      </c>
      <c r="L51" s="6" t="s">
        <v>6</v>
      </c>
      <c r="M51" s="6" t="s">
        <v>7</v>
      </c>
    </row>
    <row r="52" spans="1:16" s="2" customFormat="1" ht="15.75" thickBot="1">
      <c r="A52" s="7" t="s">
        <v>120</v>
      </c>
      <c r="B52" s="20" t="s">
        <v>3</v>
      </c>
      <c r="C52" s="76">
        <v>1143</v>
      </c>
      <c r="D52" s="76">
        <v>1171</v>
      </c>
      <c r="E52" s="76">
        <v>1178</v>
      </c>
      <c r="F52" s="9">
        <v>1281</v>
      </c>
      <c r="G52" s="9"/>
      <c r="H52" s="76"/>
      <c r="I52" s="11" t="s">
        <v>12</v>
      </c>
      <c r="J52" s="13" t="s">
        <v>8</v>
      </c>
      <c r="K52" s="14">
        <f>SUM(C53+C55+C59+C60)</f>
        <v>2964</v>
      </c>
      <c r="L52" s="15">
        <f>SUM(K52/K56)</f>
        <v>0.33098827470686765</v>
      </c>
      <c r="M52" s="5">
        <v>2</v>
      </c>
    </row>
    <row r="53" spans="1:16" s="2" customFormat="1" ht="15.75" thickBot="1">
      <c r="A53" s="7" t="s">
        <v>231</v>
      </c>
      <c r="B53" s="8" t="s">
        <v>8</v>
      </c>
      <c r="C53" s="76">
        <v>1135</v>
      </c>
      <c r="D53" s="76">
        <v>1147</v>
      </c>
      <c r="E53" s="76">
        <v>1200</v>
      </c>
      <c r="F53" s="9">
        <v>1383</v>
      </c>
      <c r="G53" s="76"/>
      <c r="H53" s="76"/>
      <c r="I53" s="11" t="s">
        <v>9</v>
      </c>
      <c r="J53" s="16" t="s">
        <v>3</v>
      </c>
      <c r="K53" s="14">
        <f>SUM(C51+C52+C56+C57+C58)</f>
        <v>4703</v>
      </c>
      <c r="L53" s="15">
        <f>SUM(K53/K56)</f>
        <v>0.52518146286990508</v>
      </c>
      <c r="M53" s="5">
        <v>3</v>
      </c>
    </row>
    <row r="54" spans="1:16" s="2" customFormat="1" ht="15.75" thickBot="1">
      <c r="A54" s="7" t="s">
        <v>160</v>
      </c>
      <c r="B54" s="37" t="s">
        <v>11</v>
      </c>
      <c r="C54" s="76">
        <v>982</v>
      </c>
      <c r="D54" s="76">
        <v>1021</v>
      </c>
      <c r="E54" s="76">
        <v>1094</v>
      </c>
      <c r="F54" s="76">
        <v>1119</v>
      </c>
      <c r="G54" s="76">
        <v>1127</v>
      </c>
      <c r="H54" s="9">
        <v>1242</v>
      </c>
      <c r="I54" s="11" t="s">
        <v>15</v>
      </c>
      <c r="J54" s="19" t="s">
        <v>11</v>
      </c>
      <c r="K54" s="14">
        <v>982</v>
      </c>
      <c r="L54" s="15">
        <f>SUM(K54/K56)</f>
        <v>0.10965940815187046</v>
      </c>
      <c r="M54" s="5">
        <v>1</v>
      </c>
    </row>
    <row r="55" spans="1:16" s="2" customFormat="1" ht="15.75" thickBot="1">
      <c r="A55" s="7" t="s">
        <v>121</v>
      </c>
      <c r="B55" s="8" t="s">
        <v>8</v>
      </c>
      <c r="C55" s="76">
        <v>944</v>
      </c>
      <c r="D55" s="76">
        <v>971</v>
      </c>
      <c r="E55" s="76">
        <v>1080</v>
      </c>
      <c r="F55" s="76">
        <v>1166</v>
      </c>
      <c r="G55" s="76">
        <v>1233</v>
      </c>
      <c r="H55" s="9">
        <v>1277</v>
      </c>
      <c r="I55" s="11" t="s">
        <v>10</v>
      </c>
      <c r="J55" s="26" t="s">
        <v>17</v>
      </c>
      <c r="K55" s="14">
        <v>306</v>
      </c>
      <c r="L55" s="15">
        <f>SUM(K55/K56)</f>
        <v>3.4170854271356785E-2</v>
      </c>
      <c r="M55" s="5"/>
    </row>
    <row r="56" spans="1:16" s="2" customFormat="1" ht="15.75" customHeight="1" thickBot="1">
      <c r="A56" s="7" t="s">
        <v>201</v>
      </c>
      <c r="B56" s="20" t="s">
        <v>3</v>
      </c>
      <c r="C56" s="76">
        <v>847</v>
      </c>
      <c r="D56" s="76">
        <v>876</v>
      </c>
      <c r="E56" s="76">
        <v>960</v>
      </c>
      <c r="F56" s="76">
        <v>975</v>
      </c>
      <c r="G56" s="76">
        <v>979</v>
      </c>
      <c r="H56" s="9">
        <v>1161</v>
      </c>
      <c r="I56" s="11" t="s">
        <v>14</v>
      </c>
      <c r="J56" s="21"/>
      <c r="K56" s="22">
        <v>8955</v>
      </c>
      <c r="L56" s="15"/>
      <c r="M56" s="5"/>
    </row>
    <row r="57" spans="1:16" s="2" customFormat="1" ht="15.75" thickBot="1">
      <c r="A57" s="17" t="s">
        <v>232</v>
      </c>
      <c r="B57" s="25" t="s">
        <v>3</v>
      </c>
      <c r="C57" s="76">
        <v>837</v>
      </c>
      <c r="D57" s="76">
        <v>863</v>
      </c>
      <c r="E57" s="76">
        <v>877</v>
      </c>
      <c r="F57" s="76">
        <v>887</v>
      </c>
      <c r="G57" s="76">
        <v>890</v>
      </c>
      <c r="H57" s="76">
        <v>1106</v>
      </c>
      <c r="I57" s="11"/>
    </row>
    <row r="58" spans="1:16" s="2" customFormat="1" ht="15.75" thickBot="1">
      <c r="A58" s="17" t="s">
        <v>233</v>
      </c>
      <c r="B58" s="25" t="s">
        <v>3</v>
      </c>
      <c r="C58" s="76">
        <v>699</v>
      </c>
      <c r="D58" s="76">
        <v>715</v>
      </c>
      <c r="E58" s="76">
        <v>725</v>
      </c>
      <c r="F58" s="76">
        <v>777</v>
      </c>
      <c r="G58" s="76">
        <v>798</v>
      </c>
      <c r="H58" s="76" t="s">
        <v>16</v>
      </c>
    </row>
    <row r="59" spans="1:16" s="2" customFormat="1" ht="15.75" thickBot="1">
      <c r="A59" s="17" t="s">
        <v>235</v>
      </c>
      <c r="B59" s="23" t="s">
        <v>8</v>
      </c>
      <c r="C59" s="76">
        <v>466</v>
      </c>
      <c r="D59" s="76">
        <v>479</v>
      </c>
      <c r="E59" s="76">
        <v>508</v>
      </c>
      <c r="F59" s="76" t="s">
        <v>16</v>
      </c>
      <c r="J59" s="45"/>
      <c r="M59" s="22"/>
    </row>
    <row r="60" spans="1:16" s="2" customFormat="1" ht="15.75" thickBot="1">
      <c r="A60" s="17" t="s">
        <v>236</v>
      </c>
      <c r="B60" s="23" t="s">
        <v>8</v>
      </c>
      <c r="C60" s="76">
        <v>419</v>
      </c>
      <c r="D60" s="76">
        <v>445</v>
      </c>
      <c r="E60" s="76" t="s">
        <v>16</v>
      </c>
    </row>
    <row r="61" spans="1:16" s="2" customFormat="1" ht="15.75" thickBot="1">
      <c r="A61" s="17" t="s">
        <v>234</v>
      </c>
      <c r="B61" s="41" t="s">
        <v>18</v>
      </c>
      <c r="C61" s="76">
        <v>306</v>
      </c>
      <c r="D61" s="76" t="s">
        <v>16</v>
      </c>
    </row>
    <row r="62" spans="1:16" s="2" customFormat="1" ht="15">
      <c r="A62" s="40"/>
    </row>
    <row r="63" spans="1:16" ht="14.25">
      <c r="A63" s="27"/>
      <c r="B63" s="27" t="s">
        <v>19</v>
      </c>
      <c r="C63" s="28" t="s">
        <v>8</v>
      </c>
      <c r="D63" s="29" t="s">
        <v>3</v>
      </c>
      <c r="E63" s="30" t="s">
        <v>13</v>
      </c>
      <c r="F63" s="31" t="s">
        <v>11</v>
      </c>
      <c r="G63" s="46" t="s">
        <v>20</v>
      </c>
      <c r="H63" s="27" t="s">
        <v>17</v>
      </c>
      <c r="M63" s="2"/>
      <c r="N63" s="2"/>
      <c r="O63" s="2"/>
      <c r="P63" s="2"/>
    </row>
    <row r="64" spans="1:16" ht="14.25">
      <c r="A64" s="32" t="s">
        <v>5</v>
      </c>
      <c r="B64" s="33">
        <f>SUM(K56+M40+L25+N9)</f>
        <v>35166</v>
      </c>
      <c r="C64" s="34">
        <f>SUM(K52+M35+L21+N5)</f>
        <v>12253</v>
      </c>
      <c r="D64" s="34">
        <f>SUM(K53+M36+L22+N6)</f>
        <v>16051</v>
      </c>
      <c r="E64" s="34">
        <v>831</v>
      </c>
      <c r="F64" s="34">
        <f>SUM(K54+M37+L23+N7)</f>
        <v>3815</v>
      </c>
      <c r="G64" s="34">
        <v>294</v>
      </c>
      <c r="H64" s="34">
        <f>SUM(K55+M39+N8)</f>
        <v>1922</v>
      </c>
    </row>
    <row r="65" spans="1:8" ht="14.25">
      <c r="A65" s="32" t="s">
        <v>6</v>
      </c>
      <c r="B65" s="35">
        <v>1</v>
      </c>
      <c r="C65" s="36">
        <f t="shared" ref="C65:H65" si="0">SUM(C64/$B$64)</f>
        <v>0.3484331456520503</v>
      </c>
      <c r="D65" s="36">
        <f t="shared" si="0"/>
        <v>0.45643519308422908</v>
      </c>
      <c r="E65" s="36">
        <f t="shared" si="0"/>
        <v>2.3630779730421429E-2</v>
      </c>
      <c r="F65" s="36">
        <f t="shared" si="0"/>
        <v>0.10848546891884206</v>
      </c>
      <c r="G65" s="36">
        <f t="shared" si="0"/>
        <v>8.3603480634703974E-3</v>
      </c>
      <c r="H65" s="36">
        <f t="shared" si="0"/>
        <v>5.4655064550986746E-2</v>
      </c>
    </row>
    <row r="66" spans="1:8" ht="14.25">
      <c r="A66" s="32" t="s">
        <v>7</v>
      </c>
      <c r="B66" s="27">
        <v>25</v>
      </c>
      <c r="C66">
        <v>8</v>
      </c>
      <c r="D66">
        <v>13</v>
      </c>
      <c r="E66">
        <v>0</v>
      </c>
      <c r="F66">
        <v>4</v>
      </c>
      <c r="G66">
        <v>0</v>
      </c>
      <c r="H66">
        <v>0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A21" sqref="A21"/>
    </sheetView>
  </sheetViews>
  <sheetFormatPr defaultRowHeight="12.75"/>
  <cols>
    <col min="1" max="1" width="14.85546875" style="27" customWidth="1"/>
    <col min="2" max="2" width="7.85546875" customWidth="1"/>
    <col min="3" max="3" width="9.28515625" bestFit="1" customWidth="1"/>
    <col min="7" max="7" width="9.28515625" bestFit="1" customWidth="1"/>
    <col min="10" max="12" width="9.28515625" bestFit="1" customWidth="1"/>
  </cols>
  <sheetData>
    <row r="1" spans="1:13" s="27" customFormat="1">
      <c r="A1" s="27" t="s">
        <v>23</v>
      </c>
      <c r="B1" s="27" t="s">
        <v>7</v>
      </c>
      <c r="C1" s="28" t="s">
        <v>8</v>
      </c>
      <c r="D1" s="29" t="s">
        <v>3</v>
      </c>
      <c r="E1" s="31" t="s">
        <v>11</v>
      </c>
      <c r="F1" s="30" t="s">
        <v>13</v>
      </c>
      <c r="G1" s="27" t="s">
        <v>17</v>
      </c>
      <c r="H1" s="46" t="s">
        <v>20</v>
      </c>
      <c r="I1" s="74" t="s">
        <v>26</v>
      </c>
      <c r="J1" s="73" t="s">
        <v>367</v>
      </c>
      <c r="K1" s="108" t="s">
        <v>576</v>
      </c>
      <c r="L1" s="73" t="s">
        <v>281</v>
      </c>
      <c r="M1" s="43" t="s">
        <v>27</v>
      </c>
    </row>
    <row r="2" spans="1:13"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</row>
    <row r="3" spans="1:13">
      <c r="A3" s="27">
        <v>1920</v>
      </c>
      <c r="C3" s="90" t="s">
        <v>16</v>
      </c>
      <c r="D3" s="90" t="s">
        <v>16</v>
      </c>
      <c r="E3" s="90" t="s">
        <v>16</v>
      </c>
      <c r="F3" s="90" t="s">
        <v>16</v>
      </c>
      <c r="G3" s="90" t="s">
        <v>16</v>
      </c>
      <c r="H3" s="90" t="s">
        <v>16</v>
      </c>
      <c r="I3" s="90" t="s">
        <v>16</v>
      </c>
      <c r="J3" s="90" t="s">
        <v>16</v>
      </c>
      <c r="K3" s="90" t="s">
        <v>16</v>
      </c>
      <c r="L3" s="90" t="s">
        <v>16</v>
      </c>
      <c r="M3" s="90" t="s">
        <v>16</v>
      </c>
    </row>
    <row r="4" spans="1:13">
      <c r="A4" s="27">
        <v>1925</v>
      </c>
      <c r="B4">
        <v>32</v>
      </c>
      <c r="C4" s="90">
        <v>9.7000000000000003E-2</v>
      </c>
      <c r="D4" s="90">
        <v>0.34379999999999999</v>
      </c>
      <c r="E4" s="90" t="s">
        <v>16</v>
      </c>
      <c r="F4" s="90">
        <v>2.1000000000000001E-2</v>
      </c>
      <c r="G4" s="90">
        <v>0.26269999999999999</v>
      </c>
      <c r="H4" s="90" t="s">
        <v>16</v>
      </c>
      <c r="I4" s="90" t="s">
        <v>16</v>
      </c>
      <c r="J4" s="90">
        <v>0.15740000000000001</v>
      </c>
      <c r="K4" s="90">
        <v>0.1181</v>
      </c>
      <c r="L4" s="90" t="s">
        <v>16</v>
      </c>
      <c r="M4" s="90" t="s">
        <v>16</v>
      </c>
    </row>
    <row r="5" spans="1:13">
      <c r="A5" s="27">
        <v>1928</v>
      </c>
      <c r="B5">
        <v>32</v>
      </c>
      <c r="C5" s="90">
        <v>0.27289999999999998</v>
      </c>
      <c r="D5" s="90">
        <v>7.4700000000000003E-2</v>
      </c>
      <c r="E5" s="90" t="s">
        <v>16</v>
      </c>
      <c r="F5" s="90">
        <v>1.72E-2</v>
      </c>
      <c r="G5" s="90">
        <v>0.45329999999999998</v>
      </c>
      <c r="H5" s="90" t="s">
        <v>16</v>
      </c>
      <c r="I5" s="90" t="s">
        <v>16</v>
      </c>
      <c r="J5" s="90">
        <v>9.2399999999999996E-2</v>
      </c>
      <c r="K5" s="90">
        <v>8.8999999999999996E-2</v>
      </c>
      <c r="L5" s="90" t="s">
        <v>16</v>
      </c>
      <c r="M5" s="90" t="s">
        <v>16</v>
      </c>
    </row>
    <row r="6" spans="1:13">
      <c r="A6" s="27">
        <v>1934</v>
      </c>
      <c r="B6">
        <v>32</v>
      </c>
      <c r="C6" s="90">
        <v>0.44240000000000002</v>
      </c>
      <c r="D6" s="90">
        <v>0.38750000000000001</v>
      </c>
      <c r="E6" s="90" t="s">
        <v>16</v>
      </c>
      <c r="F6" s="90">
        <v>5.0000000000000001E-3</v>
      </c>
      <c r="G6" s="90">
        <v>0.1651</v>
      </c>
      <c r="H6" s="90" t="s">
        <v>16</v>
      </c>
      <c r="I6" s="90" t="s">
        <v>16</v>
      </c>
      <c r="J6" s="90" t="s">
        <v>16</v>
      </c>
      <c r="K6" s="90" t="s">
        <v>16</v>
      </c>
      <c r="L6" s="90" t="s">
        <v>16</v>
      </c>
      <c r="M6" s="90" t="s">
        <v>16</v>
      </c>
    </row>
    <row r="7" spans="1:13">
      <c r="A7" s="27">
        <v>1942</v>
      </c>
      <c r="B7">
        <v>25</v>
      </c>
      <c r="C7" s="90">
        <v>0.3372</v>
      </c>
      <c r="D7" s="90" t="s">
        <v>16</v>
      </c>
      <c r="E7" s="90" t="s">
        <v>16</v>
      </c>
      <c r="F7" s="90">
        <v>3.56E-2</v>
      </c>
      <c r="G7" s="90">
        <v>0.53500000000000003</v>
      </c>
      <c r="H7" s="90" t="s">
        <v>16</v>
      </c>
      <c r="I7" s="90" t="s">
        <v>16</v>
      </c>
      <c r="J7" s="90">
        <v>9.2200000000000004E-2</v>
      </c>
      <c r="K7" s="90" t="s">
        <v>16</v>
      </c>
      <c r="L7" s="90" t="s">
        <v>16</v>
      </c>
      <c r="M7" s="90" t="s">
        <v>16</v>
      </c>
    </row>
    <row r="8" spans="1:13">
      <c r="A8" s="27">
        <v>1945</v>
      </c>
      <c r="B8">
        <v>25</v>
      </c>
      <c r="C8" s="90">
        <v>0.44879999999999998</v>
      </c>
      <c r="D8" s="90">
        <v>1.1599999999999999E-2</v>
      </c>
      <c r="E8" s="90" t="s">
        <v>16</v>
      </c>
      <c r="F8" s="90" t="s">
        <v>16</v>
      </c>
      <c r="G8" s="90">
        <v>0.39579999999999999</v>
      </c>
      <c r="H8" s="90" t="s">
        <v>16</v>
      </c>
      <c r="I8" s="90" t="s">
        <v>16</v>
      </c>
      <c r="J8" s="90">
        <v>0.14380000000000001</v>
      </c>
      <c r="K8" s="90" t="s">
        <v>16</v>
      </c>
      <c r="L8" s="90" t="s">
        <v>16</v>
      </c>
      <c r="M8" s="90" t="s">
        <v>16</v>
      </c>
    </row>
    <row r="9" spans="1:13">
      <c r="A9" s="27">
        <v>1950</v>
      </c>
      <c r="B9">
        <v>25</v>
      </c>
      <c r="C9" s="90">
        <v>0.39269999999999999</v>
      </c>
      <c r="D9" s="90">
        <v>0.1883</v>
      </c>
      <c r="E9" s="90" t="s">
        <v>16</v>
      </c>
      <c r="F9" s="90" t="s">
        <v>16</v>
      </c>
      <c r="G9" s="90">
        <v>0.1653</v>
      </c>
      <c r="H9" s="90" t="s">
        <v>16</v>
      </c>
      <c r="I9" s="90">
        <v>0.17879999999999999</v>
      </c>
      <c r="J9" s="90">
        <v>7.4899999999999994E-2</v>
      </c>
      <c r="K9" s="90" t="s">
        <v>16</v>
      </c>
      <c r="L9" s="90" t="s">
        <v>16</v>
      </c>
      <c r="M9" s="90" t="s">
        <v>16</v>
      </c>
    </row>
    <row r="10" spans="1:13">
      <c r="A10" s="27">
        <v>1955</v>
      </c>
      <c r="B10">
        <v>25</v>
      </c>
      <c r="C10" s="90">
        <v>0.4098</v>
      </c>
      <c r="D10" s="90">
        <v>0.27700000000000002</v>
      </c>
      <c r="E10" s="90" t="s">
        <v>16</v>
      </c>
      <c r="F10" s="90" t="s">
        <v>16</v>
      </c>
      <c r="G10" s="90">
        <v>0.1618</v>
      </c>
      <c r="H10" s="90" t="s">
        <v>16</v>
      </c>
      <c r="I10" s="90">
        <v>0.15140000000000001</v>
      </c>
      <c r="J10" s="90" t="s">
        <v>16</v>
      </c>
      <c r="K10" s="90" t="s">
        <v>16</v>
      </c>
      <c r="L10" s="90" t="s">
        <v>16</v>
      </c>
      <c r="M10" s="90" t="s">
        <v>16</v>
      </c>
    </row>
    <row r="11" spans="1:13">
      <c r="A11" s="27">
        <v>1960</v>
      </c>
      <c r="B11">
        <v>25</v>
      </c>
      <c r="C11" s="90">
        <v>0.3987</v>
      </c>
      <c r="D11" s="90">
        <v>0.2727</v>
      </c>
      <c r="E11" s="90">
        <v>6.4500000000000002E-2</v>
      </c>
      <c r="F11" s="90" t="s">
        <v>16</v>
      </c>
      <c r="G11" s="90">
        <v>0.1298</v>
      </c>
      <c r="H11" s="90" t="s">
        <v>16</v>
      </c>
      <c r="I11" s="90">
        <v>0.1343</v>
      </c>
      <c r="J11" s="90" t="s">
        <v>16</v>
      </c>
      <c r="K11" s="90" t="s">
        <v>16</v>
      </c>
      <c r="L11" s="90" t="s">
        <v>16</v>
      </c>
      <c r="M11" s="90" t="s">
        <v>16</v>
      </c>
    </row>
    <row r="12" spans="1:13">
      <c r="A12" s="27">
        <v>1967</v>
      </c>
      <c r="B12">
        <v>25</v>
      </c>
      <c r="C12" s="90">
        <v>0.41389999999999999</v>
      </c>
      <c r="D12" s="90">
        <v>0.35110000000000002</v>
      </c>
      <c r="E12" s="90">
        <v>1.14E-2</v>
      </c>
      <c r="F12" s="90" t="s">
        <v>16</v>
      </c>
      <c r="G12" s="90">
        <v>0.1231</v>
      </c>
      <c r="H12" s="90" t="s">
        <v>16</v>
      </c>
      <c r="I12" s="90">
        <v>8.0100000000000005E-2</v>
      </c>
      <c r="J12" s="90" t="s">
        <v>16</v>
      </c>
      <c r="K12" s="90" t="s">
        <v>16</v>
      </c>
      <c r="L12" s="90" t="s">
        <v>16</v>
      </c>
      <c r="M12" s="90" t="s">
        <v>16</v>
      </c>
    </row>
    <row r="13" spans="1:13">
      <c r="A13" s="27">
        <v>1974</v>
      </c>
      <c r="B13">
        <v>25</v>
      </c>
      <c r="C13" s="90">
        <v>0.39140000000000003</v>
      </c>
      <c r="D13" s="90">
        <v>0.39</v>
      </c>
      <c r="E13" s="90">
        <v>6.59E-2</v>
      </c>
      <c r="F13" s="90">
        <v>2.1000000000000001E-2</v>
      </c>
      <c r="G13" s="90">
        <v>9.2399999999999996E-2</v>
      </c>
      <c r="H13" s="90" t="s">
        <v>16</v>
      </c>
      <c r="I13" s="90">
        <v>3.9300000000000002E-2</v>
      </c>
      <c r="J13" s="90" t="s">
        <v>16</v>
      </c>
      <c r="K13" s="90" t="s">
        <v>16</v>
      </c>
      <c r="L13" s="90" t="s">
        <v>16</v>
      </c>
      <c r="M13" s="90" t="s">
        <v>16</v>
      </c>
    </row>
    <row r="14" spans="1:13">
      <c r="A14" s="27">
        <v>1979</v>
      </c>
      <c r="B14">
        <v>25</v>
      </c>
      <c r="C14" s="90">
        <v>0.40500000000000003</v>
      </c>
      <c r="D14" s="90">
        <v>0.4249</v>
      </c>
      <c r="E14" s="90">
        <v>3.0099999999999998E-2</v>
      </c>
      <c r="F14" s="90" t="s">
        <v>16</v>
      </c>
      <c r="G14" s="90">
        <v>0.1227</v>
      </c>
      <c r="H14" s="90" t="s">
        <v>16</v>
      </c>
      <c r="I14" s="90" t="s">
        <v>16</v>
      </c>
      <c r="J14" s="90" t="s">
        <v>16</v>
      </c>
      <c r="K14" s="90" t="s">
        <v>16</v>
      </c>
      <c r="L14" s="90">
        <v>5.5999999999999999E-3</v>
      </c>
      <c r="M14" s="90" t="s">
        <v>16</v>
      </c>
    </row>
    <row r="15" spans="1:13">
      <c r="A15" s="27">
        <v>1985</v>
      </c>
      <c r="B15">
        <v>25</v>
      </c>
      <c r="C15" s="90">
        <v>0.5353</v>
      </c>
      <c r="D15" s="90">
        <v>0.36359999999999998</v>
      </c>
      <c r="E15" s="90">
        <v>5.62E-2</v>
      </c>
      <c r="F15" s="90" t="s">
        <v>16</v>
      </c>
      <c r="G15" s="90">
        <v>4.4999999999999998E-2</v>
      </c>
      <c r="H15" s="90" t="s">
        <v>16</v>
      </c>
      <c r="I15" s="90" t="s">
        <v>16</v>
      </c>
      <c r="J15" s="90" t="s">
        <v>16</v>
      </c>
      <c r="K15" s="90" t="s">
        <v>16</v>
      </c>
      <c r="L15" s="90" t="s">
        <v>16</v>
      </c>
      <c r="M15" s="90" t="s">
        <v>16</v>
      </c>
    </row>
    <row r="16" spans="1:13">
      <c r="A16" s="27">
        <v>1991</v>
      </c>
      <c r="B16">
        <v>25</v>
      </c>
      <c r="C16" s="90">
        <v>0.42759999999999998</v>
      </c>
      <c r="D16" s="90">
        <v>0.35499999999999998</v>
      </c>
      <c r="E16" s="90">
        <v>2.6200000000000001E-2</v>
      </c>
      <c r="F16" s="90">
        <v>1.21E-2</v>
      </c>
      <c r="G16" s="90">
        <v>0.17910000000000001</v>
      </c>
      <c r="H16" s="90" t="s">
        <v>16</v>
      </c>
      <c r="I16" s="90" t="s">
        <v>16</v>
      </c>
      <c r="J16" s="90" t="s">
        <v>16</v>
      </c>
      <c r="K16" s="90" t="s">
        <v>16</v>
      </c>
      <c r="L16" s="90" t="s">
        <v>16</v>
      </c>
      <c r="M16" s="90" t="s">
        <v>16</v>
      </c>
    </row>
    <row r="17" spans="1:13">
      <c r="A17" s="27">
        <v>1999</v>
      </c>
      <c r="B17">
        <v>25</v>
      </c>
      <c r="C17" s="90">
        <v>0.45579999999999998</v>
      </c>
      <c r="D17" s="90">
        <v>0.37140000000000001</v>
      </c>
      <c r="E17" s="90">
        <v>8.5099999999999995E-2</v>
      </c>
      <c r="F17" s="90">
        <v>6.4999999999999997E-3</v>
      </c>
      <c r="G17" s="90">
        <v>7.6100000000000001E-2</v>
      </c>
      <c r="H17" s="90">
        <v>5.0000000000000001E-3</v>
      </c>
      <c r="I17" s="90" t="s">
        <v>16</v>
      </c>
      <c r="J17" s="90" t="s">
        <v>16</v>
      </c>
      <c r="K17" s="90" t="s">
        <v>16</v>
      </c>
      <c r="L17" s="90" t="s">
        <v>16</v>
      </c>
      <c r="M17" s="90" t="s">
        <v>16</v>
      </c>
    </row>
    <row r="18" spans="1:13">
      <c r="A18" s="27">
        <v>2004</v>
      </c>
      <c r="B18">
        <v>25</v>
      </c>
      <c r="C18" s="90">
        <v>0.41820000000000002</v>
      </c>
      <c r="D18" s="90">
        <v>0.44679999999999997</v>
      </c>
      <c r="E18" s="90">
        <v>0.1181</v>
      </c>
      <c r="F18" s="90">
        <v>7.7000000000000002E-3</v>
      </c>
      <c r="G18" s="90">
        <v>2.53E-2</v>
      </c>
      <c r="H18" s="90" t="s">
        <v>16</v>
      </c>
      <c r="I18" s="90" t="s">
        <v>16</v>
      </c>
      <c r="J18" s="90" t="s">
        <v>16</v>
      </c>
      <c r="K18" s="90" t="s">
        <v>16</v>
      </c>
      <c r="L18" s="90" t="s">
        <v>16</v>
      </c>
      <c r="M18" s="90" t="s">
        <v>16</v>
      </c>
    </row>
    <row r="19" spans="1:13">
      <c r="A19" s="27">
        <v>2009</v>
      </c>
      <c r="B19">
        <v>25</v>
      </c>
      <c r="C19" s="36">
        <v>0.34839999999999999</v>
      </c>
      <c r="D19" s="36">
        <v>0.45639999999999997</v>
      </c>
      <c r="E19" s="36">
        <v>0.1085</v>
      </c>
      <c r="F19" s="36">
        <v>2.3599999999999999E-2</v>
      </c>
      <c r="G19" s="36">
        <v>5.4699999999999999E-2</v>
      </c>
      <c r="H19" s="36">
        <v>8.3999999999999995E-3</v>
      </c>
      <c r="I19" s="90" t="s">
        <v>16</v>
      </c>
      <c r="J19" s="90" t="s">
        <v>16</v>
      </c>
      <c r="K19" s="90" t="s">
        <v>16</v>
      </c>
      <c r="L19" s="90" t="s">
        <v>16</v>
      </c>
      <c r="M19" s="90" t="s">
        <v>16</v>
      </c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B1:H67"/>
  <sheetViews>
    <sheetView workbookViewId="0">
      <selection activeCell="A3" sqref="A3"/>
    </sheetView>
  </sheetViews>
  <sheetFormatPr defaultRowHeight="12.75"/>
  <cols>
    <col min="1" max="1" width="6.85546875" customWidth="1"/>
    <col min="2" max="2" width="9.140625" style="70"/>
    <col min="3" max="3" width="24.7109375" customWidth="1"/>
    <col min="4" max="4" width="8.140625" customWidth="1"/>
    <col min="5" max="5" width="20.140625" customWidth="1"/>
    <col min="6" max="6" width="8.28515625" style="71" customWidth="1"/>
    <col min="7" max="7" width="9.140625" style="34"/>
    <col min="8" max="8" width="12.7109375" style="72" customWidth="1"/>
    <col min="9" max="9" width="11.28515625" customWidth="1"/>
  </cols>
  <sheetData>
    <row r="1" spans="2:8" s="48" customFormat="1" ht="8.25" customHeight="1" thickBot="1">
      <c r="B1" s="47"/>
      <c r="F1" s="49"/>
      <c r="G1" s="50"/>
      <c r="H1" s="51"/>
    </row>
    <row r="2" spans="2:8" s="48" customFormat="1" ht="16.5" customHeight="1" thickBot="1">
      <c r="B2" s="52" t="s">
        <v>21</v>
      </c>
      <c r="C2" s="53" t="s">
        <v>0</v>
      </c>
      <c r="D2" s="53" t="s">
        <v>1</v>
      </c>
      <c r="E2" s="53" t="s">
        <v>22</v>
      </c>
      <c r="F2" s="53" t="s">
        <v>23</v>
      </c>
      <c r="G2" s="54" t="s">
        <v>24</v>
      </c>
      <c r="H2" s="55" t="s">
        <v>25</v>
      </c>
    </row>
    <row r="3" spans="2:8" s="48" customFormat="1" ht="16.5" thickBot="1">
      <c r="B3" s="56"/>
      <c r="C3" s="57"/>
      <c r="D3" s="58"/>
      <c r="E3" s="57"/>
      <c r="F3" s="59"/>
      <c r="G3" s="60"/>
      <c r="H3" s="55"/>
    </row>
    <row r="4" spans="2:8" s="48" customFormat="1" ht="16.5" thickBot="1">
      <c r="B4" s="56"/>
      <c r="C4" s="57"/>
      <c r="D4" s="61"/>
      <c r="E4" s="57"/>
      <c r="F4" s="59"/>
      <c r="G4" s="60"/>
      <c r="H4" s="55"/>
    </row>
    <row r="5" spans="2:8" s="48" customFormat="1" ht="16.5" thickBot="1">
      <c r="B5" s="56"/>
      <c r="C5" s="57"/>
      <c r="D5" s="58"/>
      <c r="E5" s="57"/>
      <c r="F5" s="59"/>
      <c r="G5" s="60"/>
      <c r="H5" s="55"/>
    </row>
    <row r="6" spans="2:8" s="48" customFormat="1" ht="16.5" thickBot="1">
      <c r="B6" s="56"/>
      <c r="C6" s="57"/>
      <c r="D6" s="62"/>
      <c r="E6" s="57"/>
      <c r="F6" s="59"/>
      <c r="G6" s="60"/>
      <c r="H6" s="55"/>
    </row>
    <row r="7" spans="2:8" s="48" customFormat="1" ht="16.5" thickBot="1">
      <c r="B7" s="56"/>
      <c r="C7" s="57"/>
      <c r="D7" s="61"/>
      <c r="E7" s="57"/>
      <c r="F7" s="59"/>
      <c r="G7" s="60"/>
      <c r="H7" s="55"/>
    </row>
    <row r="8" spans="2:8" s="48" customFormat="1" ht="16.5" thickBot="1">
      <c r="B8" s="56"/>
      <c r="C8" s="57"/>
      <c r="D8" s="63"/>
      <c r="E8" s="57"/>
      <c r="F8" s="59"/>
      <c r="G8" s="60"/>
      <c r="H8" s="55"/>
    </row>
    <row r="9" spans="2:8" s="48" customFormat="1" ht="16.5" thickBot="1">
      <c r="B9" s="56"/>
      <c r="C9" s="57"/>
      <c r="D9" s="58"/>
      <c r="E9" s="57"/>
      <c r="F9" s="59"/>
      <c r="G9" s="60"/>
      <c r="H9" s="55"/>
    </row>
    <row r="10" spans="2:8" s="48" customFormat="1" ht="16.5" thickBot="1">
      <c r="B10" s="56"/>
      <c r="C10" s="57"/>
      <c r="D10" s="58"/>
      <c r="E10" s="57"/>
      <c r="F10" s="59"/>
      <c r="G10" s="60"/>
      <c r="H10" s="55"/>
    </row>
    <row r="11" spans="2:8" s="48" customFormat="1" ht="16.5" thickBot="1">
      <c r="B11" s="56"/>
      <c r="C11" s="57"/>
      <c r="D11" s="58"/>
      <c r="E11" s="57"/>
      <c r="F11" s="59"/>
      <c r="G11" s="60"/>
      <c r="H11" s="55"/>
    </row>
    <row r="12" spans="2:8" s="48" customFormat="1" ht="16.5" thickBot="1">
      <c r="B12" s="56"/>
      <c r="C12" s="57"/>
      <c r="D12" s="61"/>
      <c r="E12" s="57"/>
      <c r="F12" s="59"/>
      <c r="G12" s="60"/>
      <c r="H12" s="55"/>
    </row>
    <row r="13" spans="2:8" s="48" customFormat="1" ht="16.5" thickBot="1">
      <c r="B13" s="56"/>
      <c r="C13" s="57"/>
      <c r="D13" s="62"/>
      <c r="E13" s="57"/>
      <c r="F13" s="59"/>
      <c r="G13" s="60"/>
      <c r="H13" s="55"/>
    </row>
    <row r="14" spans="2:8" s="48" customFormat="1" ht="16.5" thickBot="1">
      <c r="B14" s="56"/>
      <c r="C14" s="57"/>
      <c r="D14" s="63"/>
      <c r="E14" s="57"/>
      <c r="F14" s="59"/>
      <c r="G14" s="60"/>
      <c r="H14" s="55"/>
    </row>
    <row r="15" spans="2:8" s="48" customFormat="1" ht="16.5" thickBot="1">
      <c r="B15" s="56"/>
      <c r="C15" s="57"/>
      <c r="D15" s="63"/>
      <c r="E15" s="57"/>
      <c r="F15" s="59"/>
      <c r="G15" s="60"/>
      <c r="H15" s="55"/>
    </row>
    <row r="16" spans="2:8" s="48" customFormat="1" ht="16.5" thickBot="1">
      <c r="B16" s="56"/>
      <c r="C16" s="57"/>
      <c r="D16" s="63"/>
      <c r="E16" s="57"/>
      <c r="F16" s="59"/>
      <c r="G16" s="60"/>
      <c r="H16" s="55"/>
    </row>
    <row r="17" spans="2:8" s="48" customFormat="1" ht="16.5" thickBot="1">
      <c r="B17" s="56"/>
      <c r="C17" s="57"/>
      <c r="D17" s="58"/>
      <c r="E17" s="57"/>
      <c r="F17" s="59"/>
      <c r="G17" s="60"/>
      <c r="H17" s="55"/>
    </row>
    <row r="18" spans="2:8" s="48" customFormat="1" ht="16.5" thickBot="1">
      <c r="B18" s="56"/>
      <c r="C18" s="57"/>
      <c r="D18" s="58"/>
      <c r="E18" s="57"/>
      <c r="F18" s="59"/>
      <c r="G18" s="60"/>
      <c r="H18" s="55"/>
    </row>
    <row r="19" spans="2:8" s="48" customFormat="1" ht="16.5" thickBot="1">
      <c r="B19" s="56"/>
      <c r="C19" s="57"/>
      <c r="D19" s="58"/>
      <c r="E19" s="57"/>
      <c r="F19" s="59"/>
      <c r="G19" s="60"/>
      <c r="H19" s="55"/>
    </row>
    <row r="20" spans="2:8" s="48" customFormat="1" ht="16.5" thickBot="1">
      <c r="B20" s="56"/>
      <c r="C20" s="57"/>
      <c r="D20" s="63"/>
      <c r="E20" s="57"/>
      <c r="F20" s="59"/>
      <c r="G20" s="60"/>
      <c r="H20" s="55"/>
    </row>
    <row r="21" spans="2:8" s="48" customFormat="1" ht="16.5" thickBot="1">
      <c r="B21" s="56"/>
      <c r="C21" s="57"/>
      <c r="D21" s="61"/>
      <c r="E21" s="57"/>
      <c r="F21" s="59"/>
      <c r="G21" s="60"/>
      <c r="H21" s="55"/>
    </row>
    <row r="22" spans="2:8" s="48" customFormat="1" ht="16.5" thickBot="1">
      <c r="B22" s="56"/>
      <c r="C22" s="57"/>
      <c r="D22" s="63"/>
      <c r="E22" s="57"/>
      <c r="F22" s="59"/>
      <c r="G22" s="60"/>
      <c r="H22" s="55"/>
    </row>
    <row r="23" spans="2:8" s="48" customFormat="1" ht="16.5" thickBot="1">
      <c r="B23" s="56"/>
      <c r="C23" s="57"/>
      <c r="D23" s="57"/>
      <c r="E23" s="57"/>
      <c r="F23" s="59"/>
      <c r="G23" s="60"/>
      <c r="H23" s="55"/>
    </row>
    <row r="24" spans="2:8" s="48" customFormat="1" ht="16.5" thickBot="1">
      <c r="B24" s="56"/>
      <c r="C24" s="57"/>
      <c r="D24" s="62"/>
      <c r="E24" s="57"/>
      <c r="F24" s="59"/>
      <c r="G24" s="60"/>
      <c r="H24" s="55"/>
    </row>
    <row r="25" spans="2:8" s="48" customFormat="1" ht="16.5" thickBot="1">
      <c r="B25" s="56"/>
      <c r="C25" s="57"/>
      <c r="D25" s="58"/>
      <c r="E25" s="57"/>
      <c r="F25" s="59"/>
      <c r="G25" s="60"/>
      <c r="H25" s="55"/>
    </row>
    <row r="26" spans="2:8" s="48" customFormat="1" ht="16.5" thickBot="1">
      <c r="B26" s="56"/>
      <c r="C26" s="57"/>
      <c r="D26" s="58"/>
      <c r="E26" s="57"/>
      <c r="F26" s="59"/>
      <c r="G26" s="60"/>
      <c r="H26" s="55"/>
    </row>
    <row r="27" spans="2:8" s="48" customFormat="1" ht="16.5" thickBot="1">
      <c r="B27" s="56"/>
      <c r="C27" s="57"/>
      <c r="D27" s="58"/>
      <c r="E27" s="57"/>
      <c r="F27" s="59"/>
      <c r="G27" s="60"/>
      <c r="H27" s="55"/>
    </row>
    <row r="28" spans="2:8" s="48" customFormat="1" ht="16.5" thickBot="1">
      <c r="B28" s="56"/>
      <c r="C28" s="57"/>
      <c r="D28" s="63"/>
      <c r="E28" s="57"/>
      <c r="F28" s="59"/>
      <c r="G28" s="60"/>
      <c r="H28" s="55"/>
    </row>
    <row r="29" spans="2:8" s="48" customFormat="1" ht="16.5" thickBot="1">
      <c r="B29" s="56"/>
      <c r="C29" s="57"/>
      <c r="D29" s="64"/>
      <c r="E29" s="57"/>
      <c r="F29" s="59"/>
      <c r="G29" s="60"/>
      <c r="H29" s="55"/>
    </row>
    <row r="30" spans="2:8" s="48" customFormat="1" ht="16.5" thickBot="1">
      <c r="B30" s="56"/>
      <c r="C30" s="57"/>
      <c r="D30" s="57"/>
      <c r="E30" s="57"/>
      <c r="F30" s="59"/>
      <c r="G30" s="60"/>
      <c r="H30" s="55"/>
    </row>
    <row r="31" spans="2:8" s="48" customFormat="1" ht="16.5" thickBot="1">
      <c r="B31" s="56"/>
      <c r="C31" s="57"/>
      <c r="D31" s="62"/>
      <c r="E31" s="57"/>
      <c r="F31" s="59"/>
      <c r="G31" s="60"/>
      <c r="H31" s="55"/>
    </row>
    <row r="32" spans="2:8" s="48" customFormat="1" ht="16.5" thickBot="1">
      <c r="B32" s="56"/>
      <c r="C32" s="57"/>
      <c r="D32" s="62"/>
      <c r="E32" s="57"/>
      <c r="F32" s="59"/>
      <c r="G32" s="60"/>
      <c r="H32" s="55"/>
    </row>
    <row r="33" spans="2:8" s="48" customFormat="1" ht="16.5" thickBot="1">
      <c r="B33" s="56"/>
      <c r="C33" s="57"/>
      <c r="D33" s="58"/>
      <c r="E33" s="57"/>
      <c r="F33" s="59"/>
      <c r="G33" s="60"/>
      <c r="H33" s="55"/>
    </row>
    <row r="34" spans="2:8" s="48" customFormat="1" ht="16.5" thickBot="1">
      <c r="B34" s="56"/>
      <c r="C34" s="57"/>
      <c r="D34" s="62"/>
      <c r="E34" s="57"/>
      <c r="F34" s="59"/>
      <c r="G34" s="60"/>
      <c r="H34" s="55"/>
    </row>
    <row r="35" spans="2:8" s="48" customFormat="1" ht="16.5" thickBot="1">
      <c r="B35" s="56"/>
      <c r="C35" s="57"/>
      <c r="D35" s="58"/>
      <c r="E35" s="57"/>
      <c r="F35" s="59"/>
      <c r="G35" s="60"/>
      <c r="H35" s="55"/>
    </row>
    <row r="36" spans="2:8" s="48" customFormat="1" ht="16.5" thickBot="1">
      <c r="B36" s="56"/>
      <c r="C36" s="57"/>
      <c r="D36" s="63"/>
      <c r="E36" s="57"/>
      <c r="F36" s="59"/>
      <c r="G36" s="60"/>
      <c r="H36" s="55"/>
    </row>
    <row r="37" spans="2:8" s="48" customFormat="1" ht="16.5" thickBot="1">
      <c r="B37" s="56"/>
      <c r="C37" s="57"/>
      <c r="D37" s="58"/>
      <c r="E37" s="57"/>
      <c r="F37" s="59"/>
      <c r="G37" s="60"/>
      <c r="H37" s="55"/>
    </row>
    <row r="38" spans="2:8" s="48" customFormat="1" ht="16.5" thickBot="1">
      <c r="B38" s="56"/>
      <c r="C38" s="57"/>
      <c r="D38" s="58"/>
      <c r="E38" s="57"/>
      <c r="F38" s="59"/>
      <c r="G38" s="60"/>
      <c r="H38" s="55"/>
    </row>
    <row r="39" spans="2:8" s="48" customFormat="1" ht="16.5" thickBot="1">
      <c r="B39" s="56"/>
      <c r="C39" s="57"/>
      <c r="D39" s="63"/>
      <c r="E39" s="57"/>
      <c r="F39" s="59"/>
      <c r="G39" s="60"/>
      <c r="H39" s="55"/>
    </row>
    <row r="40" spans="2:8" s="48" customFormat="1" ht="16.5" thickBot="1">
      <c r="B40" s="56"/>
      <c r="C40" s="57"/>
      <c r="D40" s="61"/>
      <c r="E40" s="57"/>
      <c r="F40" s="59"/>
      <c r="G40" s="60"/>
      <c r="H40" s="55"/>
    </row>
    <row r="41" spans="2:8" s="48" customFormat="1" ht="16.5" thickBot="1">
      <c r="B41" s="56"/>
      <c r="C41" s="57"/>
      <c r="D41" s="63"/>
      <c r="E41" s="57"/>
      <c r="F41" s="59"/>
      <c r="G41" s="60"/>
      <c r="H41" s="55"/>
    </row>
    <row r="42" spans="2:8" s="48" customFormat="1" ht="16.5" thickBot="1">
      <c r="B42" s="56"/>
      <c r="C42" s="57"/>
      <c r="D42" s="63"/>
      <c r="E42" s="57"/>
      <c r="F42" s="59"/>
      <c r="G42" s="60"/>
      <c r="H42" s="55"/>
    </row>
    <row r="43" spans="2:8" s="48" customFormat="1" ht="16.5" thickBot="1">
      <c r="B43" s="56"/>
      <c r="C43" s="57"/>
      <c r="D43" s="58"/>
      <c r="E43" s="57"/>
      <c r="F43" s="59"/>
      <c r="G43" s="60"/>
      <c r="H43" s="55"/>
    </row>
    <row r="44" spans="2:8" s="48" customFormat="1" ht="16.5" thickBot="1">
      <c r="B44" s="56"/>
      <c r="C44" s="57"/>
      <c r="D44" s="57"/>
      <c r="E44" s="57"/>
      <c r="F44" s="59"/>
      <c r="G44" s="60"/>
      <c r="H44" s="55"/>
    </row>
    <row r="45" spans="2:8" s="48" customFormat="1" ht="16.5" thickBot="1">
      <c r="B45" s="56"/>
      <c r="C45" s="57"/>
      <c r="D45" s="58"/>
      <c r="E45" s="57"/>
      <c r="F45" s="59"/>
      <c r="G45" s="60"/>
      <c r="H45" s="55"/>
    </row>
    <row r="46" spans="2:8" s="48" customFormat="1" ht="16.5" thickBot="1">
      <c r="B46" s="56"/>
      <c r="C46" s="57"/>
      <c r="D46" s="58"/>
      <c r="E46" s="57"/>
      <c r="F46" s="59"/>
      <c r="G46" s="60"/>
      <c r="H46" s="55"/>
    </row>
    <row r="47" spans="2:8" s="48" customFormat="1" ht="16.5" thickBot="1">
      <c r="B47" s="56"/>
      <c r="C47" s="57"/>
      <c r="D47" s="63"/>
      <c r="E47" s="57"/>
      <c r="F47" s="59"/>
      <c r="G47" s="60"/>
      <c r="H47" s="55"/>
    </row>
    <row r="48" spans="2:8" s="48" customFormat="1" ht="16.5" thickBot="1">
      <c r="B48" s="56"/>
      <c r="C48" s="57"/>
      <c r="D48" s="58"/>
      <c r="E48" s="57"/>
      <c r="F48" s="59"/>
      <c r="G48" s="60"/>
      <c r="H48" s="55"/>
    </row>
    <row r="49" spans="2:8" s="48" customFormat="1" ht="16.5" thickBot="1">
      <c r="B49" s="56"/>
      <c r="C49" s="57"/>
      <c r="D49" s="58"/>
      <c r="E49" s="57"/>
      <c r="F49" s="59"/>
      <c r="G49" s="60"/>
      <c r="H49" s="55"/>
    </row>
    <row r="50" spans="2:8" s="48" customFormat="1" ht="16.5" thickBot="1">
      <c r="B50" s="56"/>
      <c r="C50" s="57"/>
      <c r="D50" s="63"/>
      <c r="E50" s="57"/>
      <c r="F50" s="59"/>
      <c r="G50" s="60"/>
      <c r="H50" s="55"/>
    </row>
    <row r="51" spans="2:8" s="48" customFormat="1" ht="16.5" thickBot="1">
      <c r="B51" s="56"/>
      <c r="C51" s="57"/>
      <c r="D51" s="63"/>
      <c r="E51" s="57"/>
      <c r="F51" s="59"/>
      <c r="G51" s="60"/>
      <c r="H51" s="55"/>
    </row>
    <row r="52" spans="2:8" s="48" customFormat="1" ht="16.5" thickBot="1">
      <c r="B52" s="56"/>
      <c r="C52" s="57"/>
      <c r="D52" s="58"/>
      <c r="E52" s="57"/>
      <c r="F52" s="59"/>
      <c r="G52" s="60"/>
      <c r="H52" s="55"/>
    </row>
    <row r="53" spans="2:8" s="48" customFormat="1" ht="16.5" thickBot="1">
      <c r="B53" s="56"/>
      <c r="C53" s="57"/>
      <c r="D53" s="63"/>
      <c r="E53" s="57"/>
      <c r="F53" s="59"/>
      <c r="G53" s="60"/>
      <c r="H53" s="55"/>
    </row>
    <row r="54" spans="2:8" s="48" customFormat="1" ht="16.5" thickBot="1">
      <c r="B54" s="56"/>
      <c r="C54" s="57"/>
      <c r="D54" s="63"/>
      <c r="E54" s="57"/>
      <c r="F54" s="59"/>
      <c r="G54" s="60"/>
      <c r="H54" s="55"/>
    </row>
    <row r="55" spans="2:8" s="48" customFormat="1" ht="16.5" thickBot="1">
      <c r="B55" s="56"/>
      <c r="C55" s="57"/>
      <c r="D55" s="63"/>
      <c r="E55" s="57"/>
      <c r="F55" s="59"/>
      <c r="G55" s="60"/>
      <c r="H55" s="55"/>
    </row>
    <row r="56" spans="2:8" s="48" customFormat="1" ht="16.5" thickBot="1">
      <c r="B56" s="56"/>
      <c r="C56" s="57"/>
      <c r="D56" s="58"/>
      <c r="E56" s="57"/>
      <c r="F56" s="59"/>
      <c r="G56" s="60"/>
      <c r="H56" s="55"/>
    </row>
    <row r="57" spans="2:8" s="48" customFormat="1" ht="16.5" thickBot="1">
      <c r="B57" s="56"/>
      <c r="C57" s="57"/>
      <c r="D57" s="63"/>
      <c r="E57" s="57"/>
      <c r="F57" s="59"/>
      <c r="G57" s="60"/>
      <c r="H57" s="55"/>
    </row>
    <row r="58" spans="2:8" s="48" customFormat="1" ht="16.5" thickBot="1">
      <c r="B58" s="56"/>
      <c r="C58" s="57"/>
      <c r="D58" s="63"/>
      <c r="E58" s="57"/>
      <c r="F58" s="59"/>
      <c r="G58" s="60"/>
      <c r="H58" s="55"/>
    </row>
    <row r="59" spans="2:8" s="48" customFormat="1" ht="15.75">
      <c r="B59" s="47"/>
      <c r="F59" s="49"/>
      <c r="G59" s="50"/>
      <c r="H59" s="51"/>
    </row>
    <row r="60" spans="2:8" s="66" customFormat="1">
      <c r="B60" s="65"/>
      <c r="F60" s="67"/>
      <c r="G60" s="68"/>
      <c r="H60" s="69"/>
    </row>
    <row r="61" spans="2:8" s="66" customFormat="1">
      <c r="B61" s="65"/>
      <c r="F61" s="67"/>
      <c r="G61" s="68"/>
      <c r="H61" s="69"/>
    </row>
    <row r="62" spans="2:8" s="66" customFormat="1">
      <c r="B62" s="65"/>
      <c r="F62" s="67"/>
      <c r="G62" s="68"/>
      <c r="H62" s="69"/>
    </row>
    <row r="63" spans="2:8" s="66" customFormat="1">
      <c r="B63" s="65"/>
      <c r="F63" s="67"/>
      <c r="G63" s="68"/>
      <c r="H63" s="69"/>
    </row>
    <row r="64" spans="2:8" s="66" customFormat="1">
      <c r="B64" s="65"/>
      <c r="F64" s="67"/>
      <c r="G64" s="68"/>
      <c r="H64" s="69"/>
    </row>
    <row r="65" spans="2:8" s="66" customFormat="1">
      <c r="B65" s="65"/>
      <c r="F65" s="67"/>
      <c r="G65" s="68"/>
      <c r="H65" s="69"/>
    </row>
    <row r="66" spans="2:8" s="66" customFormat="1">
      <c r="B66" s="65"/>
      <c r="F66" s="67"/>
      <c r="G66" s="68"/>
      <c r="H66" s="69"/>
    </row>
    <row r="67" spans="2:8" s="66" customFormat="1">
      <c r="B67" s="65"/>
      <c r="F67" s="67"/>
      <c r="G67" s="68"/>
      <c r="H67" s="69"/>
    </row>
  </sheetData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1925</vt:lpstr>
      <vt:lpstr>1928</vt:lpstr>
      <vt:lpstr>1934</vt:lpstr>
      <vt:lpstr>1942</vt:lpstr>
      <vt:lpstr>1945</vt:lpstr>
      <vt:lpstr>1950</vt:lpstr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  <vt:lpstr>HighVotes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2006-07-10T14:32:21Z</dcterms:created>
  <dcterms:modified xsi:type="dcterms:W3CDTF">2011-06-22T22:20:28Z</dcterms:modified>
</cp:coreProperties>
</file>